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activeTab="0"/>
  </bookViews>
  <sheets>
    <sheet name="Лист1" sheetId="1" r:id="rId1"/>
  </sheets>
  <definedNames>
    <definedName name="_xlnm.Print_Area" localSheetId="0">'Лист1'!$A$1:$N$190</definedName>
  </definedNames>
  <calcPr fullCalcOnLoad="1"/>
</workbook>
</file>

<file path=xl/sharedStrings.xml><?xml version="1.0" encoding="utf-8"?>
<sst xmlns="http://schemas.openxmlformats.org/spreadsheetml/2006/main" count="356" uniqueCount="346">
  <si>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</si>
  <si>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</si>
  <si>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</si>
  <si>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000 2 02 30024 05 0010 151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</si>
  <si>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227_1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</si>
  <si>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</si>
  <si>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налогах и сборах, предусмотренные статьями 116, 118, статьей 119_1, пунктами 1 и 2 статьи 120, статьями 125, 126, 128, 129, 129_1, 132, 133, 134, 135, 135_1 Налогового кодекса Российской Федерации</t>
  </si>
  <si>
    <r>
      <t xml:space="preserve"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и 228 Налогового кодекса Российской Федерации (дополнительный норматив отчислений от налога на доходы физических лиц)</t>
    </r>
  </si>
  <si>
    <t>Субвенции бюджетам муниципальных образований Московской области на проведение Всероссийской сельскохозяйственной переписи 2016 года</t>
  </si>
  <si>
    <t>000 1 11 09045 05 0007 120</t>
  </si>
  <si>
    <t>2018 год</t>
  </si>
  <si>
    <t>2019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</si>
  <si>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нестационарного торгового объекта)</t>
  </si>
  <si>
    <t>000 2 02 03121 05 0000 151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</si>
  <si>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</si>
  <si>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</si>
  <si>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</si>
  <si>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</si>
  <si>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</si>
  <si>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</si>
  <si>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</si>
  <si>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</si>
  <si>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000 1 05 00000 00 0000 000</t>
  </si>
  <si>
    <t>НАЛОГИ НА СОВОКУПНЫЙ ДОХОД</t>
  </si>
  <si>
    <t>Единый налог на вменённый доход для отдельных видов деятельности</t>
  </si>
  <si>
    <t xml:space="preserve">Единый сельскохозяйственный налог </t>
  </si>
  <si>
    <t>000 1 08 00000 00 0000 000</t>
  </si>
  <si>
    <t>ГОСУДАРСТВЕННАЯ ПОШЛИНА</t>
  </si>
  <si>
    <t>расходы 100%</t>
  </si>
  <si>
    <t>услов расход 2,6%</t>
  </si>
  <si>
    <t>услов расход 5,1%</t>
  </si>
  <si>
    <t>собствен доходы</t>
  </si>
  <si>
    <t>5% деф утвердить</t>
  </si>
  <si>
    <t>2019 год расходы за вычетом условных</t>
  </si>
  <si>
    <t>Поступления доходов в бюджет Лотошинского муниципального района Московской области на 2018 год                                                                                                                                                                                   и плановый период 2019 и 2020 годов</t>
  </si>
  <si>
    <t>2020 год</t>
  </si>
  <si>
    <t>000 1 13 01995 05 0001 130</t>
  </si>
  <si>
    <t>000 1 13 01995 05 0002 130</t>
  </si>
  <si>
    <t>000 1 13 01995 05 0003 130</t>
  </si>
  <si>
    <t>РОНО</t>
  </si>
  <si>
    <t>ЛЦБС</t>
  </si>
  <si>
    <t>Музей</t>
  </si>
  <si>
    <t xml:space="preserve">                  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</si>
  <si>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</si>
  <si>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</si>
  <si>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районов и городских округов Московской области 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</si>
  <si>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</si>
  <si>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000 1 08 03010 01 0000 110</t>
  </si>
  <si>
    <t>000 1 08 07150 01 0000 110</t>
  </si>
  <si>
    <t>000 1 09 00000 00 0000 000</t>
  </si>
  <si>
    <t>ЗАДОЛЖЕННОСТЬ И ПЕРЕРАСЧЁТЫ ПО ОТМЕНЁННЫМ НАЛОГАМ, СБОРАМ И ИНЫМ ОБЯЗАТЕЛЬНЫМ ПЛАТЕЖАМ</t>
  </si>
  <si>
    <t>000 1 09 01030 05 0000 110</t>
  </si>
  <si>
    <t>Налог на прибыль организаций, зачисляемый в местные бюджеты (в части сумм по расчётам за 2004 год и погашения задолженности прошлых лет)</t>
  </si>
  <si>
    <t>000 1 09 04000 00 0000 110</t>
  </si>
  <si>
    <t>Земельный налог (по обязательствам, возникшим до 1 января 2006)</t>
  </si>
  <si>
    <t>000 1 09 040050 10 0000 110</t>
  </si>
  <si>
    <t>Земельный налог (по обязательствам, возникшим до 1 января 2006), мобилизуемый на территории поселений</t>
  </si>
  <si>
    <t>000 1 09 07000 00 0000 110</t>
  </si>
  <si>
    <t>Прочие налоги и сборы (по отменённым местным налогам)</t>
  </si>
  <si>
    <t>000 1 09 07030 05 0000 110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</si>
  <si>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</si>
  <si>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</si>
  <si>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</si>
  <si>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</si>
  <si>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000 1 11 01050 05 0000 120</t>
  </si>
  <si>
    <t>000 1 11 05000 00 0000 120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</si>
  <si>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</si>
  <si>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</si>
  <si>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</si>
  <si>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000 1 11 09000 00 0000 120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</si>
  <si>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</si>
  <si>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</si>
  <si>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</si>
  <si>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</si>
  <si>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</si>
  <si>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</si>
  <si>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</si>
  <si>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</si>
  <si>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ПРОЧИЕ НЕНАЛОГОВЫЕ ДОХОДЫ</t>
  </si>
  <si>
    <t>000 2 00 00000 00 0000 000</t>
  </si>
  <si>
    <t xml:space="preserve">                                                                                 Приложение 4</t>
  </si>
  <si>
    <t>(тыс. рублей)</t>
  </si>
  <si>
    <t>Сумма</t>
  </si>
  <si>
    <t>000 1 09 06010 02 0000 110</t>
  </si>
  <si>
    <t>Налог с продаж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</si>
  <si>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</si>
  <si>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000 2 02 03999 05 0000 151</t>
  </si>
  <si>
    <r>
      <t xml:space="preserve">к решению Совета депутатов Лотошинского муниципального района   от </t>
    </r>
    <r>
      <rPr>
        <u val="single"/>
        <sz val="12"/>
        <rFont val="Times New Roman"/>
        <family val="1"/>
      </rPr>
      <t>24.08.2017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354/40</t>
    </r>
  </si>
  <si>
    <t>ПРОЧИЕ БЕЗВОЗМЕЗДНЫЕ ПОСТУПЛЕНИЯ</t>
  </si>
  <si>
    <t>Приложение 1</t>
  </si>
  <si>
    <t xml:space="preserve">000 1 00 00000 00 0000 000 </t>
  </si>
  <si>
    <t>000 1 11 05025 05 0000 120</t>
  </si>
  <si>
    <t>НАЛОГ НА ДОХОДЫ ФИЗИЧЕСКИХ ЛИЦ</t>
  </si>
  <si>
    <t>Государственная пошлина за выдачу разрешения на установку рекламной конструкции</t>
  </si>
  <si>
    <t>ШТРАФЫ, САНКЦИИ, ВОЗМЕЩЕНИЕ УЩЕРБА</t>
  </si>
  <si>
    <t>000 1 16 90050 05 0000 140</t>
  </si>
  <si>
    <t>БЕЗВОЗМЕЗДНЫЕ ПОСТУПЛЕНИЯ</t>
  </si>
  <si>
    <t>000 2 02 00000 00 0000 000</t>
  </si>
  <si>
    <t xml:space="preserve">Дотации бюджетам муниципальных районов на выравнивание бюджетной обеспеченности </t>
  </si>
  <si>
    <t>НАЛОГОВЫЕ И НЕНАЛОГОВЫЕ ДОХОДЫ:</t>
  </si>
  <si>
    <t>000 1 01 02000 01 0000 110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</si>
  <si>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</si>
  <si>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</si>
  <si>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</si>
  <si>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000 1 17 05050 05 0000 180</t>
  </si>
  <si>
    <t>Прочие неналоговые доходы бюджетов муниципальных районов</t>
  </si>
  <si>
    <t>ВСЕГО ДОХОДОВ :</t>
  </si>
  <si>
    <t>БЕЗВОЗМЕЗДНЫЕ ПОСТУПЛЕНИЯ ОТ ДРУГИХ БЮДЖЕТОВ БЮДЖЕТНОЙ СИСТЕМЫ РОССИЙСКОЙ ФЕДЕРАЦИИ</t>
  </si>
  <si>
    <t>ПРОЧИЕ СУБСИДИИ БЮДЖЕТАМ МУНИЦИПАЛЬНЫХ РАЙОНОВ:</t>
  </si>
  <si>
    <t>000 1 13 00000 00 0000 000</t>
  </si>
  <si>
    <t xml:space="preserve">ДОТАЦИИ БЮДЖЕТАМ СУБЪЕКТОВ РОССИЙСКОЙ ФЕДЕРАЦИИ И МУНИЦИПАЛЬНЫХ ОБРАЗОВАНИЙ </t>
  </si>
  <si>
    <t>ИНЫЕ МЕЖБЮДЖЕТНЫЕ ТРАНСФЕРТЫ</t>
  </si>
  <si>
    <t>000 2 02 10000 00 0000 151</t>
  </si>
  <si>
    <t>000 2 02 15001 05 0000 151</t>
  </si>
  <si>
    <t>000 2 02 20000 00 0000 151</t>
  </si>
  <si>
    <t>000 2 02 29999 05 0000 151</t>
  </si>
  <si>
    <t>000 2 02 29999 05 0003 151</t>
  </si>
  <si>
    <t>000 2 02 30000 00 0000 151</t>
  </si>
  <si>
    <t>000 2 02 30022 05 0000 151</t>
  </si>
  <si>
    <t>000 2 02 30024 00 0000 151</t>
  </si>
  <si>
    <t>000 2 02 30024 05 0001 151</t>
  </si>
  <si>
    <t>000 2 02 30024 05 0002 151</t>
  </si>
  <si>
    <t>000 2 02 30024 05 0003 151</t>
  </si>
  <si>
    <t>000 2 02 30024 05 0004 151</t>
  </si>
  <si>
    <t>000 2 02 30024 05 0005 151</t>
  </si>
  <si>
    <t>000 2 02 30024 05 0007 151</t>
  </si>
  <si>
    <t>000 2 02 30024 05 0008 151</t>
  </si>
  <si>
    <t>000 2 02 30024 05 0009 151</t>
  </si>
  <si>
    <t>000 2 02 30029 05 0000 151</t>
  </si>
  <si>
    <t>000 2 02 35082 05 0000 151</t>
  </si>
  <si>
    <t>000 2 02 40000 00 0000 151</t>
  </si>
  <si>
    <t>000 2 02 40014 05 0000 151</t>
  </si>
  <si>
    <t>000 2 02 40014 05 0001 151</t>
  </si>
  <si>
    <t>000 2 02 40014 05 0002 151</t>
  </si>
  <si>
    <t>000 2 02 40014 05 0003 151</t>
  </si>
  <si>
    <t>000 2 02 49999 05 0000 151</t>
  </si>
  <si>
    <t xml:space="preserve">СУБВЕНЦИИ БЮДЖЕТАМ СУБЪЕКТОВ РОССИЙСКОЙ ФЕДЕРАЦИИ И МУНИЦИПАЛЬНЫХ ОБРАЗОВАНИЙ                                                                              </t>
  </si>
  <si>
    <t>собствен.дох</t>
  </si>
  <si>
    <t>000 1 05 02010 02 0000 110</t>
  </si>
  <si>
    <t>000 1 05 03010 01 0000 110</t>
  </si>
  <si>
    <t>Доходы, получаемые в виде арендой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</si>
  <si>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</si>
  <si>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</si>
  <si>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</si>
  <si>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</si>
  <si>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Межбюджетные трансферты, передаваемые бюджету Лотошинского муниципального района из бюджета Городского поселения "Лотошино"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</si>
  <si>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"Ошейкинское"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</si>
  <si>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"Микулинское"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</si>
  <si>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Коды</t>
  </si>
  <si>
    <t>Наименования</t>
  </si>
  <si>
    <t>000 1 14 06025 05 0000 430</t>
  </si>
  <si>
    <t xml:space="preserve">Субвенции бюджетам муниципальных районов в рамках подпрограммы "Модернизация здравоохранения МО на 2011 - 2012 годы" долгосрочной целевой программы МО "Предупреждение и борьба с заболеваниями социального характера в МО на 2009 - 2012 годы" на 2012 год </t>
  </si>
  <si>
    <t>000 1 08 07141 01 0000 110</t>
  </si>
  <si>
    <t>000 1 11 05013 10 0000 120</t>
  </si>
  <si>
    <t>ДОХОДЫ ОТ ОКАЗАНИЯ ПЛАТНЫХ УСЛУГ (РАБОТ) И КОМПЕНСАЦИИ ЗАТРАТ ГОСУДАРСТВА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</si>
  <si>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</si>
  <si>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</si>
  <si>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</si>
  <si>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</si>
  <si>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</si>
  <si>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Субвенции бюджетам муниципальных районов на обеспечение питанием, одеждой, обувью и мягким инвентарём детей-сирот и детей, оставшихся без попечения родителей, находящихся в лечебно-профилактических учреждениях Московской области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</si>
  <si>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</si>
  <si>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</si>
  <si>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</si>
  <si>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ПРОЧИЕ СУБВЕНЦИИ БЮДЖЕТАМ МУНИЦИПАЛЬНЫХ РАЙОНОВ,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</si>
  <si>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</si>
  <si>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000 1 01 02010 01 0000 110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</si>
  <si>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и 228 Налогового кодекса Российской Федерации</t>
    </r>
  </si>
  <si>
    <t>000 2 02 01999 05 0000 151</t>
  </si>
  <si>
    <t>Субвенции бюджетам муниципальных районов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 в целях содействия их обеспечению книгоиздательской продукцией и периодическими изданиями</t>
  </si>
  <si>
    <t>000 1 13 02995 05 0000 130</t>
  </si>
  <si>
    <t>Прочие доходы от компенсации затрат бюджетов муниципальных районов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</si>
  <si>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</si>
  <si>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</si>
  <si>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</si>
  <si>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</si>
  <si>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000 1 06 00000 00 0000 000</t>
  </si>
  <si>
    <t>НАЛОГ НА ИМУЩЕСТВО</t>
  </si>
  <si>
    <t>000 1 06 02010 02 0000 110</t>
  </si>
  <si>
    <t>Налог на имущество организаций по имуществу, не входящему в Единую систему газоснабжения</t>
  </si>
  <si>
    <t>Субвенции бюджетам муниципальных районов на организацию оказания медицинской помощи на территории муниципального образования на 2013 год</t>
  </si>
  <si>
    <t>Иные межбюджетные трансферты в форме дотации бюджетам муниципальных образований Московской области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 Московской области, вызванных природными пожарами</t>
  </si>
  <si>
    <t>000 2 07 05020 05 0000 180</t>
  </si>
  <si>
    <t>000 2 02 03024 05 0004 151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</si>
  <si>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</si>
  <si>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</si>
  <si>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образований Московской области  на проведение мероприятий по оздоровительной кампании детей</t>
  </si>
  <si>
    <t>Прочие безвозмездные поступления в бюджеты  муниципальных районов</t>
  </si>
  <si>
    <t>Поступления от денежных пожертвований, предоставленных физическими лицами получателям средств бюджетов муниципальных районов</t>
  </si>
  <si>
    <t>I уточнение</t>
  </si>
  <si>
    <t>II уточнение</t>
  </si>
  <si>
    <t>000 1 05 01000 00 0000 110</t>
  </si>
  <si>
    <t>Налог, взимаемый в связи с применением упрощенной системы налогообложения</t>
  </si>
  <si>
    <t>III уточнение</t>
  </si>
  <si>
    <t>IV уточнение</t>
  </si>
  <si>
    <t>V уточнение</t>
  </si>
  <si>
    <t>VI уточнение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</si>
  <si>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рекламы)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</si>
  <si>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(спец.найм)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</si>
  <si>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</si>
  <si>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</si>
  <si>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</si>
  <si>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 xml:space="preserve">000 2 07 00000 00 0000 000 </t>
  </si>
  <si>
    <t>СУБСИДИИ БЮДЖЕТАМ БЮДЖЕТНОЙ СИСТЕМЫ РОССИЙСКОЙ ФЕДЕРАЦИИ  (МЕЖБЮДЖЕТНЫЕ СУБСИДИИ)</t>
  </si>
  <si>
    <t>000 2 02 03070 05 0000 151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</si>
  <si>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</si>
  <si>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</si>
  <si>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</si>
  <si>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000 1 16 03010 01 0000 140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</si>
  <si>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</si>
  <si>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</si>
  <si>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бюджет</t>
  </si>
  <si>
    <t>Субвенции бюджетам муниципальных районов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 имеющих детей - инвалидов"</t>
  </si>
  <si>
    <t>предел кредита</t>
  </si>
  <si>
    <t>000 1 11 05075 05 0000 120</t>
  </si>
  <si>
    <t>000 1 11 09045 05 0006 120</t>
  </si>
  <si>
    <t>000 1 01 02040 01 0000 110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</si>
  <si>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</si>
  <si>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</si>
  <si>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</si>
  <si>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Акцизы по подакцизным товарам (продукции), производимым на территории Российской Федерации</t>
  </si>
  <si>
    <t xml:space="preserve">000 1 03 02000 01 0000 110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</si>
  <si>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</si>
  <si>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</si>
  <si>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</si>
  <si>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</si>
  <si>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</si>
  <si>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</si>
  <si>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</si>
  <si>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</si>
  <si>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</si>
  <si>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000 1 11 09045 05 0003 120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</si>
  <si>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(соц.найм)</t>
  </si>
  <si>
    <t>000 1 11 09045 05 0005 120</t>
  </si>
  <si>
    <t>000 2 02 35135 05 0000 151</t>
  </si>
  <si>
    <t>000 2 18 60010 05 0000 151</t>
  </si>
  <si>
    <t>000 2 18 60000 05 0000 151</t>
  </si>
  <si>
    <t>000 2 19 60010 05 0000 151</t>
  </si>
  <si>
    <t>Субсидии бюджетам муниципальных районов на реализацию федеральных целевых программ на обеспечение жильем молодых семей</t>
  </si>
  <si>
    <t>000 2 02 20051 05 0000 151</t>
  </si>
  <si>
    <t>000 2 02 20216 05 0000 151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</si>
  <si>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</si>
  <si>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</si>
  <si>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</si>
  <si>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</si>
  <si>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образований Московской области на развитие сети общеобразовательных организаций в сельской местности</t>
  </si>
  <si>
    <t>Субсидии бюджетам муниципальных районов Московской области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</si>
  <si>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</si>
  <si>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000 2 02 29999 05 0017 151</t>
  </si>
  <si>
    <t>000 2 02 29999 05 0016 151</t>
  </si>
  <si>
    <t>000 2 02 45160 05 0000 151</t>
  </si>
  <si>
    <t>000 2 02 29999 05 0008 151</t>
  </si>
  <si>
    <t>000 2 02 29999 05 0001 151</t>
  </si>
  <si>
    <t>000 2 02 29999 05 0002 151</t>
  </si>
  <si>
    <t>000 2 02 29999 05 0007 151</t>
  </si>
  <si>
    <t>000 2 02 29999 05 0009 151</t>
  </si>
  <si>
    <t>000 2 02 29999 05 0012 151</t>
  </si>
  <si>
    <t>000 2 02 29999 05 0014 151</t>
  </si>
  <si>
    <t>000 2 02 29999 05 0018 151</t>
  </si>
  <si>
    <t>000 2 02 29999 05 0019 151</t>
  </si>
  <si>
    <t>000 2 02 20051 05 0001 151</t>
  </si>
  <si>
    <t>000 2 02 20051 05 0002 151</t>
  </si>
  <si>
    <t>000 2 02 20051 05 0003 151</t>
  </si>
  <si>
    <t>Субсидии бюджетам муниципальных районов на реализацию мероприятий федеральной целевой программ "Устойчивое развитие сельских территорий на 2014-2017 годы и плановый период до 2020 года"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</si>
  <si>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</si>
  <si>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</si>
  <si>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</si>
  <si>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000 2 02 30024 05 0011 151</t>
  </si>
  <si>
    <t>000 2 02 29999 05 0015 151</t>
  </si>
  <si>
    <t>000 2 02 29999 05 0005 151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</si>
  <si>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</si>
  <si>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</si>
  <si>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Денежные взыскания (штрафы) за нарушение земельного законодательства</t>
  </si>
  <si>
    <t>000 1 16 25060 01 0000 140</t>
  </si>
  <si>
    <t xml:space="preserve">"О внесении изменений в решение Совета депутатов Лотошинского муниципального района Московской области от 23.12.2016 №277/31 "О бюджете Лотошинского муниципального района Московской области на 2017 год и на плановый период 2018 и 2019 годов"                       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</si>
  <si>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</si>
  <si>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000 1 11 09045 05 0004 120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</si>
  <si>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(Коммерческий найм)</t>
  </si>
  <si>
    <t>000 1 16 30030 01 0000 140</t>
  </si>
  <si>
    <t>Субсидии бюджетам муниципальных районов на реализацию федеральных целевых программ</t>
  </si>
  <si>
    <t>000 2 02 45144 05 0000 151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</si>
  <si>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</si>
  <si>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</si>
  <si>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денежные взыскания (штрафы) за правонарушения в области дорожного движения</t>
  </si>
  <si>
    <t>000 2 02 29999 05 0010 151</t>
  </si>
  <si>
    <t>000 2 02 29999 05 0011 151</t>
  </si>
  <si>
    <t>000 2 02 29999 05 0004 151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</si>
  <si>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</si>
  <si>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(в рублях)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</si>
  <si>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</si>
  <si>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</si>
  <si>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000 2 02 35134 05 0000 151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</si>
  <si>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</si>
  <si>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</si>
  <si>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2 статьи 1 Закона Московской области № 125/2006-ОЗ «Об обеспечении жилыми помещениями за счет средств федерального бюджета отдельных категорий ветеранов, инвалидов и семей, имеющих детей-инвалидов»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</si>
  <si>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</si>
  <si>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"О внесении изменений в решение Совета депутатов Лотошинского муниципального района Московской области от 25.12.2017 №405/43 "О бюджете Лотошинского муниципального района Московской области на 2018 год и на плановый период 2019 и 2020 годов"       </t>
  </si>
  <si>
    <t>000 2 02 29999 05 0006 151</t>
  </si>
  <si>
    <t>Субсидии бюджетам муниципальных образований Московской области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</si>
  <si>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Московской области на софинансирование расходов на повышение заработной платы работникам муниципальных учреждений культуры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</si>
  <si>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</si>
  <si>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современными аппаратно-программными комплексами  общеобразовательных организаций в Московской области</t>
  </si>
  <si>
    <t>Субсидии бюджетам муниципальных образований Московской области на 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</si>
  <si>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Субсидии бюджетам муниципальных образований Московской области на ремонт подъездов многоквартирных домов</t>
  </si>
  <si>
    <t>Субсидия на организацию деятельности МФЦ предоставления государственных и муниципальных услуг, действующих на территории МО, по приему и обработке заявлений о включении избирателей, участников референдума в списках избирателей, участников референдума по месту нахождения и направлению соотвествующей информации в территориальные избирательные комиссии</t>
  </si>
  <si>
    <t>000 2 02 30024 05 0012 151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</si>
  <si>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</si>
  <si>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000 2 02 49999 05 0001 151</t>
  </si>
  <si>
    <t>Иные межбюджетные трансферты, передаваемые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</si>
  <si>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000 2 02 25497 05 0000 151</t>
  </si>
  <si>
    <t>Субсидии бюджетам муниципальных районов на реализацию мероприятий по обеспечению жильем молодых семей</t>
  </si>
  <si>
    <t>000 2 02 25520 05 0000 151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</si>
  <si>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</si>
  <si>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Субсидия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</si>
  <si>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001 2 19 45160 05 0000 151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</si>
  <si>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</si>
  <si>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000 2 02 25567 05 0000 151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</si>
  <si>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</si>
  <si>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000 2 02 25519 05 0000 151</t>
  </si>
  <si>
    <t>Субсидия бюджетам муниципальных районов на поддержку отрасли культуры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</si>
  <si>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</si>
  <si>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</si>
  <si>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000 2 02 49999 05 0002 151</t>
  </si>
  <si>
    <t>Иные межбюджетные транcферты, предоставляемые из бюджета Московской области бюджетам муниципальных образований Московской области на приобретение оборудования для комплектования строящихся муниципальных общеобразовательных организаций Московской области</t>
  </si>
  <si>
    <t>000 2 02 49999 05 0003 151</t>
  </si>
  <si>
    <t>Иные межбюджетные транcферты, предоставляемые из бюджета Московской области бюджетам муниципальных образований Московской области на реализацию отдельных мероприятий муниципальных программ (подпрограмм) в сфере культуры</t>
  </si>
  <si>
    <t>000 2 02 35120 05 0000 151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</si>
  <si>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</si>
  <si>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000 2 07 05020 05 0011 180</t>
  </si>
  <si>
    <t>Поступления от денежных пожертвований, предоставляемых физическими лицами получателям средств бюджетов муниципальных районов (для Отдела по культуре, делам молодежи, спорту и туризму администрации Лотошинского муниципального района МО)</t>
  </si>
  <si>
    <t>000 2 07 05030 05 0011 180</t>
  </si>
  <si>
    <t>Прочие безвозмездные поступления в бюджеты муниципальных районов (для отдела по культуре, делам молодежи, спорту и туризму администрации Лотошинского муниципального района МО)</t>
  </si>
  <si>
    <t>000 2 07 05030 05 0000 180</t>
  </si>
  <si>
    <t>Ликвидация несанкционированных свалок и навалов мусора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</si>
  <si>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</si>
  <si>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</si>
  <si>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</si>
  <si>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</si>
  <si>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001 1 13 02065 05 0000 130</t>
  </si>
  <si>
    <t>905 1 13 02065 05 0000 130</t>
  </si>
  <si>
    <t>Администрация</t>
  </si>
  <si>
    <t>001 1 17 05050 05 0001 180</t>
  </si>
  <si>
    <t>002 1 17 05050 05 0002 180</t>
  </si>
  <si>
    <t>НТО</t>
  </si>
  <si>
    <t>%</t>
  </si>
  <si>
    <r>
      <t xml:space="preserve">к решению Совета депутатов Лотошинского муниципального района   от </t>
    </r>
    <r>
      <rPr>
        <u val="single"/>
        <sz val="12"/>
        <rFont val="Times New Roman"/>
        <family val="1"/>
      </rPr>
      <t>11.10.2018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475/48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</si>
</sst>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  <numFmt numFmtId="175" formatCode="#,##0.000"/>
    <numFmt numFmtId="176" formatCode="#,##0.00_ ;\-#,##0.00\ "/>
  </numFmts>
  <fonts count="61">
    <font>
      <sz val="9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3" fillId="0" borderId="10" xfId="0" applyNumberFormat="1" applyFont="1" applyFill="1" applyBorder="1" applyAlignment="1">
      <alignment horizontal="right" wrapText="1"/>
    </xf>
    <xf numFmtId="173" fontId="1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9" fontId="13" fillId="0" borderId="10" xfId="0" applyNumberFormat="1" applyFont="1" applyFill="1" applyBorder="1" applyAlignment="1">
      <alignment horizontal="right" wrapText="1"/>
    </xf>
    <xf numFmtId="173" fontId="13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>
      <alignment horizontal="right"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173" fontId="3" fillId="32" borderId="10" xfId="0" applyNumberFormat="1" applyFont="1" applyFill="1" applyBorder="1" applyAlignment="1">
      <alignment horizontal="center" vertical="center" wrapText="1"/>
    </xf>
    <xf numFmtId="173" fontId="10" fillId="32" borderId="1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Border="1" applyAlignment="1">
      <alignment/>
    </xf>
    <xf numFmtId="173" fontId="10" fillId="4" borderId="10" xfId="0" applyNumberFormat="1" applyFont="1" applyFill="1" applyBorder="1" applyAlignment="1">
      <alignment horizontal="center" vertical="center" wrapText="1"/>
    </xf>
    <xf numFmtId="173" fontId="3" fillId="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 vertical="center" wrapText="1"/>
    </xf>
    <xf numFmtId="173" fontId="10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76" fontId="1" fillId="0" borderId="0" xfId="6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4" fontId="13" fillId="34" borderId="0" xfId="0" applyNumberFormat="1" applyFont="1" applyFill="1" applyAlignment="1">
      <alignment/>
    </xf>
    <xf numFmtId="4" fontId="13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/>
    </xf>
    <xf numFmtId="4" fontId="14" fillId="34" borderId="10" xfId="0" applyNumberFormat="1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/>
    </xf>
    <xf numFmtId="4" fontId="16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19" fillId="34" borderId="0" xfId="0" applyNumberFormat="1" applyFont="1" applyFill="1" applyAlignment="1">
      <alignment/>
    </xf>
    <xf numFmtId="173" fontId="13" fillId="34" borderId="0" xfId="0" applyNumberFormat="1" applyFont="1" applyFill="1" applyAlignment="1">
      <alignment/>
    </xf>
    <xf numFmtId="173" fontId="13" fillId="34" borderId="10" xfId="0" applyNumberFormat="1" applyFont="1" applyFill="1" applyBorder="1" applyAlignment="1">
      <alignment/>
    </xf>
    <xf numFmtId="4" fontId="13" fillId="34" borderId="10" xfId="0" applyNumberFormat="1" applyFont="1" applyFill="1" applyBorder="1" applyAlignment="1">
      <alignment/>
    </xf>
    <xf numFmtId="0" fontId="13" fillId="34" borderId="0" xfId="0" applyFont="1" applyFill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34" borderId="0" xfId="0" applyFont="1" applyFill="1" applyAlignment="1">
      <alignment horizontal="right"/>
    </xf>
    <xf numFmtId="0" fontId="22" fillId="34" borderId="0" xfId="0" applyFont="1" applyFill="1" applyAlignment="1">
      <alignment/>
    </xf>
    <xf numFmtId="4" fontId="22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2" fillId="0" borderId="0" xfId="0" applyNumberFormat="1" applyFont="1" applyFill="1" applyAlignment="1">
      <alignment horizontal="right" wrapText="1"/>
    </xf>
    <xf numFmtId="0" fontId="22" fillId="34" borderId="10" xfId="0" applyFont="1" applyFill="1" applyBorder="1" applyAlignment="1">
      <alignment/>
    </xf>
    <xf numFmtId="0" fontId="22" fillId="34" borderId="10" xfId="0" applyFont="1" applyFill="1" applyBorder="1" applyAlignment="1">
      <alignment wrapText="1"/>
    </xf>
    <xf numFmtId="4" fontId="21" fillId="34" borderId="0" xfId="0" applyNumberFormat="1" applyFont="1" applyFill="1" applyAlignment="1">
      <alignment/>
    </xf>
    <xf numFmtId="4" fontId="22" fillId="34" borderId="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vertical="center" wrapText="1"/>
    </xf>
    <xf numFmtId="173" fontId="3" fillId="35" borderId="10" xfId="0" applyNumberFormat="1" applyFont="1" applyFill="1" applyBorder="1" applyAlignment="1">
      <alignment horizontal="center" vertical="center" wrapText="1"/>
    </xf>
    <xf numFmtId="173" fontId="10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43" fontId="13" fillId="0" borderId="0" xfId="60" applyFont="1" applyFill="1" applyAlignment="1">
      <alignment/>
    </xf>
    <xf numFmtId="43" fontId="3" fillId="0" borderId="0" xfId="60" applyFont="1" applyFill="1" applyAlignment="1">
      <alignment/>
    </xf>
    <xf numFmtId="43" fontId="6" fillId="0" borderId="0" xfId="60" applyFont="1" applyFill="1" applyAlignment="1">
      <alignment/>
    </xf>
    <xf numFmtId="43" fontId="2" fillId="0" borderId="0" xfId="60" applyFont="1" applyFill="1" applyAlignment="1">
      <alignment/>
    </xf>
    <xf numFmtId="0" fontId="1" fillId="0" borderId="0" xfId="0" applyFont="1" applyFill="1" applyAlignment="1">
      <alignment horizontal="right"/>
    </xf>
    <xf numFmtId="176" fontId="1" fillId="0" borderId="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1" fillId="0" borderId="0" xfId="60" applyNumberFormat="1" applyFont="1" applyFill="1" applyBorder="1" applyAlignment="1">
      <alignment horizontal="right" vertical="center" wrapText="1"/>
    </xf>
    <xf numFmtId="43" fontId="1" fillId="0" borderId="0" xfId="6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tabSelected="1" view="pageBreakPreview" zoomScale="90" zoomScaleSheetLayoutView="90" zoomScalePageLayoutView="0" workbookViewId="0" topLeftCell="A1">
      <selection activeCell="B9" sqref="B9"/>
    </sheetView>
  </sheetViews>
  <sheetFormatPr defaultColWidth="9.140625" defaultRowHeight="12"/>
  <cols>
    <col min="1" max="1" width="30.00390625" style="33" customWidth="1"/>
    <col min="2" max="2" width="81.421875" style="34" customWidth="1"/>
    <col min="3" max="3" width="15.28125" style="35" hidden="1" customWidth="1"/>
    <col min="4" max="4" width="13.57421875" style="35" hidden="1" customWidth="1"/>
    <col min="5" max="5" width="12.7109375" style="36" hidden="1" customWidth="1"/>
    <col min="6" max="6" width="13.28125" style="36" hidden="1" customWidth="1"/>
    <col min="7" max="7" width="15.421875" style="36" hidden="1" customWidth="1"/>
    <col min="8" max="8" width="16.7109375" style="31" hidden="1" customWidth="1"/>
    <col min="9" max="9" width="16.00390625" style="31" hidden="1" customWidth="1"/>
    <col min="10" max="10" width="13.00390625" style="31" hidden="1" customWidth="1"/>
    <col min="11" max="11" width="17.57421875" style="70" customWidth="1"/>
    <col min="12" max="12" width="11.8515625" style="70" hidden="1" customWidth="1"/>
    <col min="13" max="13" width="18.00390625" style="70" customWidth="1"/>
    <col min="14" max="14" width="20.28125" style="70" customWidth="1"/>
    <col min="15" max="15" width="14.140625" style="32" bestFit="1" customWidth="1"/>
    <col min="16" max="18" width="9.140625" style="32" customWidth="1"/>
    <col min="19" max="19" width="10.140625" style="32" bestFit="1" customWidth="1"/>
    <col min="20" max="16384" width="9.140625" style="32" customWidth="1"/>
  </cols>
  <sheetData>
    <row r="1" spans="1:14" ht="15.75">
      <c r="A1" s="52" t="s">
        <v>80</v>
      </c>
      <c r="B1" s="117" t="s">
        <v>89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hidden="1">
      <c r="A2" s="117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37.5" customHeight="1" hidden="1">
      <c r="A3" s="118" t="s">
        <v>274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27" customHeight="1">
      <c r="A4" s="67"/>
      <c r="B4" s="120" t="s">
        <v>345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40.5" customHeight="1">
      <c r="A5" s="121" t="s">
        <v>296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38.25" customHeight="1">
      <c r="A6" s="119" t="s">
        <v>34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ht="12.75">
      <c r="A7" s="32"/>
      <c r="B7" s="32"/>
      <c r="C7" s="21" t="s">
        <v>81</v>
      </c>
      <c r="D7" s="21"/>
      <c r="E7" s="21"/>
      <c r="F7" s="21"/>
      <c r="G7" s="21"/>
      <c r="N7" s="71" t="s">
        <v>288</v>
      </c>
    </row>
    <row r="8" spans="1:14" ht="25.5" customHeight="1">
      <c r="A8" s="22" t="s">
        <v>148</v>
      </c>
      <c r="B8" s="22" t="s">
        <v>149</v>
      </c>
      <c r="C8" s="22" t="s">
        <v>82</v>
      </c>
      <c r="D8" s="19" t="s">
        <v>196</v>
      </c>
      <c r="E8" s="20" t="s">
        <v>195</v>
      </c>
      <c r="F8" s="20" t="s">
        <v>194</v>
      </c>
      <c r="G8" s="20" t="s">
        <v>193</v>
      </c>
      <c r="H8" s="20" t="s">
        <v>190</v>
      </c>
      <c r="I8" s="20" t="s">
        <v>189</v>
      </c>
      <c r="J8" s="20" t="s">
        <v>211</v>
      </c>
      <c r="K8" s="72" t="s">
        <v>10</v>
      </c>
      <c r="M8" s="72" t="s">
        <v>11</v>
      </c>
      <c r="N8" s="72" t="s">
        <v>35</v>
      </c>
    </row>
    <row r="9" spans="1:14" ht="39" customHeight="1">
      <c r="A9" s="23" t="s">
        <v>90</v>
      </c>
      <c r="B9" s="24" t="s">
        <v>99</v>
      </c>
      <c r="C9" s="7">
        <f aca="true" t="shared" si="0" ref="C9:J9">SUM(C10+C12+C21+C26+C28+C39+C56+C58+C67+C73+C85)</f>
        <v>284637.3</v>
      </c>
      <c r="D9" s="7">
        <f t="shared" si="0"/>
        <v>-19582.59999999999</v>
      </c>
      <c r="E9" s="7">
        <f t="shared" si="0"/>
        <v>304137.9</v>
      </c>
      <c r="F9" s="7">
        <f t="shared" si="0"/>
        <v>304237.9</v>
      </c>
      <c r="G9" s="7">
        <f t="shared" si="0"/>
        <v>283207.9</v>
      </c>
      <c r="H9" s="7">
        <f t="shared" si="0"/>
        <v>282537.9</v>
      </c>
      <c r="I9" s="7">
        <f t="shared" si="0"/>
        <v>-646.3999999999996</v>
      </c>
      <c r="J9" s="7">
        <f t="shared" si="0"/>
        <v>285283.7</v>
      </c>
      <c r="K9" s="73">
        <f>SUM(K12+K16+K21+K28+K39+K56+K58+K67+K73+K85)</f>
        <v>280489210.94000006</v>
      </c>
      <c r="L9" s="74">
        <f>SUM(K9-C9)</f>
        <v>280204573.64000005</v>
      </c>
      <c r="M9" s="73">
        <f>SUM(M12+M16+M21+M28+M39+M56+M58+M67+M73+M85)</f>
        <v>258243845</v>
      </c>
      <c r="N9" s="73">
        <f>SUM(N12+N16+N21+N28+N39+N56+N58+N67+N73+N85)</f>
        <v>271735147</v>
      </c>
    </row>
    <row r="10" spans="1:14" ht="39" customHeight="1" hidden="1">
      <c r="A10" s="25" t="s">
        <v>172</v>
      </c>
      <c r="B10" s="26" t="s">
        <v>173</v>
      </c>
      <c r="C10" s="3">
        <f>SUM(C11)</f>
        <v>0</v>
      </c>
      <c r="D10" s="18">
        <f aca="true" t="shared" si="1" ref="D10:D74">SUM(C10-E10)</f>
        <v>-120</v>
      </c>
      <c r="E10" s="14">
        <f>SUM(E11)</f>
        <v>120</v>
      </c>
      <c r="F10" s="14">
        <f>SUM(F11)</f>
        <v>120</v>
      </c>
      <c r="G10" s="14">
        <f>SUM(G11)</f>
        <v>60</v>
      </c>
      <c r="H10" s="14">
        <f>SUM(H11)</f>
        <v>60</v>
      </c>
      <c r="I10" s="18">
        <f>SUM(C10-J10)</f>
        <v>0</v>
      </c>
      <c r="J10" s="14">
        <f>SUM(J11)</f>
        <v>0</v>
      </c>
      <c r="K10" s="75"/>
      <c r="L10" s="74">
        <f aca="true" t="shared" si="2" ref="L10:L74">SUM(K10-C10)</f>
        <v>0</v>
      </c>
      <c r="M10" s="75"/>
      <c r="N10" s="75"/>
    </row>
    <row r="11" spans="1:14" ht="39" customHeight="1" hidden="1">
      <c r="A11" s="2" t="s">
        <v>174</v>
      </c>
      <c r="B11" s="8" t="s">
        <v>175</v>
      </c>
      <c r="C11" s="9"/>
      <c r="D11" s="18">
        <f t="shared" si="1"/>
        <v>-120</v>
      </c>
      <c r="E11" s="5">
        <v>120</v>
      </c>
      <c r="F11" s="5">
        <v>120</v>
      </c>
      <c r="G11" s="5">
        <v>60</v>
      </c>
      <c r="H11" s="5">
        <v>60</v>
      </c>
      <c r="I11" s="18">
        <f>SUM(C11-J11)</f>
        <v>0</v>
      </c>
      <c r="J11" s="5"/>
      <c r="K11" s="75"/>
      <c r="L11" s="74">
        <f t="shared" si="2"/>
        <v>0</v>
      </c>
      <c r="M11" s="75"/>
      <c r="N11" s="75"/>
    </row>
    <row r="12" spans="1:14" s="44" customFormat="1" ht="31.5" customHeight="1">
      <c r="A12" s="25" t="s">
        <v>100</v>
      </c>
      <c r="B12" s="10" t="s">
        <v>92</v>
      </c>
      <c r="C12" s="3">
        <f>SUM(C13,C15)</f>
        <v>161836.7</v>
      </c>
      <c r="D12" s="3">
        <f aca="true" t="shared" si="3" ref="D12:J12">SUM(D13,D15)</f>
        <v>-3197.2999999999884</v>
      </c>
      <c r="E12" s="3">
        <f t="shared" si="3"/>
        <v>165034</v>
      </c>
      <c r="F12" s="3">
        <f t="shared" si="3"/>
        <v>165034</v>
      </c>
      <c r="G12" s="3">
        <f t="shared" si="3"/>
        <v>165034</v>
      </c>
      <c r="H12" s="3">
        <f t="shared" si="3"/>
        <v>165034</v>
      </c>
      <c r="I12" s="3">
        <f t="shared" si="3"/>
        <v>0</v>
      </c>
      <c r="J12" s="3">
        <f t="shared" si="3"/>
        <v>161836.7</v>
      </c>
      <c r="K12" s="64">
        <f>SUM(K13:K15)</f>
        <v>180223950</v>
      </c>
      <c r="L12" s="74">
        <f t="shared" si="2"/>
        <v>180062113.3</v>
      </c>
      <c r="M12" s="64">
        <f>SUM(M13:M15)</f>
        <v>192479300</v>
      </c>
      <c r="N12" s="64">
        <f>SUM(N13:N15)</f>
        <v>206530300</v>
      </c>
    </row>
    <row r="13" spans="1:14" s="44" customFormat="1" ht="69" customHeight="1">
      <c r="A13" s="2" t="s">
        <v>166</v>
      </c>
      <c r="B13" s="1" t="s">
        <v>167</v>
      </c>
      <c r="C13" s="4">
        <f>161836.7</f>
        <v>161836.7</v>
      </c>
      <c r="D13" s="18">
        <f t="shared" si="1"/>
        <v>-3197.2999999999884</v>
      </c>
      <c r="E13" s="5">
        <v>165034</v>
      </c>
      <c r="F13" s="5">
        <v>165034</v>
      </c>
      <c r="G13" s="5">
        <v>165034</v>
      </c>
      <c r="H13" s="5">
        <v>165034</v>
      </c>
      <c r="I13" s="18">
        <f>SUM(C13-J13)</f>
        <v>0</v>
      </c>
      <c r="J13" s="5">
        <v>161836.7</v>
      </c>
      <c r="K13" s="65">
        <f>7689000+5390000</f>
        <v>13079000</v>
      </c>
      <c r="L13" s="74">
        <f t="shared" si="2"/>
        <v>12917163.3</v>
      </c>
      <c r="M13" s="65">
        <v>13968400</v>
      </c>
      <c r="N13" s="65">
        <v>14988100</v>
      </c>
    </row>
    <row r="14" spans="1:14" s="44" customFormat="1" ht="79.5" customHeight="1">
      <c r="A14" s="2" t="s">
        <v>166</v>
      </c>
      <c r="B14" s="1" t="s">
        <v>7</v>
      </c>
      <c r="C14" s="4"/>
      <c r="D14" s="18"/>
      <c r="E14" s="5"/>
      <c r="F14" s="5"/>
      <c r="G14" s="5"/>
      <c r="H14" s="5"/>
      <c r="I14" s="18"/>
      <c r="J14" s="5"/>
      <c r="K14" s="65">
        <f>(153784000*85/100)+(41463000*85/100)</f>
        <v>165959950</v>
      </c>
      <c r="L14" s="74"/>
      <c r="M14" s="65">
        <v>177245300</v>
      </c>
      <c r="N14" s="65">
        <v>190184200</v>
      </c>
    </row>
    <row r="15" spans="1:14" s="44" customFormat="1" ht="81" customHeight="1">
      <c r="A15" s="2" t="s">
        <v>216</v>
      </c>
      <c r="B15" s="1" t="s">
        <v>4</v>
      </c>
      <c r="C15" s="5"/>
      <c r="D15" s="18">
        <f t="shared" si="1"/>
        <v>0</v>
      </c>
      <c r="E15" s="5"/>
      <c r="F15" s="5"/>
      <c r="G15" s="5"/>
      <c r="H15" s="5"/>
      <c r="I15" s="18">
        <f>SUM(C15-J15)</f>
        <v>0</v>
      </c>
      <c r="J15" s="5"/>
      <c r="K15" s="76">
        <f>790000+395000</f>
        <v>1185000</v>
      </c>
      <c r="L15" s="74">
        <f t="shared" si="2"/>
        <v>1185000</v>
      </c>
      <c r="M15" s="76">
        <v>1265600</v>
      </c>
      <c r="N15" s="76">
        <v>1358000</v>
      </c>
    </row>
    <row r="16" spans="1:14" s="45" customFormat="1" ht="42.75" customHeight="1">
      <c r="A16" s="25" t="s">
        <v>221</v>
      </c>
      <c r="B16" s="10" t="s">
        <v>220</v>
      </c>
      <c r="C16" s="3"/>
      <c r="D16" s="7"/>
      <c r="E16" s="3"/>
      <c r="F16" s="3"/>
      <c r="G16" s="3"/>
      <c r="H16" s="3"/>
      <c r="I16" s="7"/>
      <c r="J16" s="3"/>
      <c r="K16" s="77">
        <f>SUM(K17:K20)</f>
        <v>5799000</v>
      </c>
      <c r="L16" s="78"/>
      <c r="M16" s="77">
        <f>SUM(M17:M20)</f>
        <v>5799000</v>
      </c>
      <c r="N16" s="77">
        <f>SUM(N17:N20)</f>
        <v>5799000</v>
      </c>
    </row>
    <row r="17" spans="1:14" s="44" customFormat="1" ht="66" customHeight="1">
      <c r="A17" s="2" t="s">
        <v>223</v>
      </c>
      <c r="B17" s="1" t="s">
        <v>1</v>
      </c>
      <c r="C17" s="5"/>
      <c r="D17" s="18"/>
      <c r="E17" s="5"/>
      <c r="F17" s="5"/>
      <c r="G17" s="5"/>
      <c r="H17" s="5"/>
      <c r="I17" s="18"/>
      <c r="J17" s="5"/>
      <c r="K17" s="76">
        <v>2412000</v>
      </c>
      <c r="L17" s="74"/>
      <c r="M17" s="76">
        <v>2412000</v>
      </c>
      <c r="N17" s="76">
        <v>2412000</v>
      </c>
    </row>
    <row r="18" spans="1:14" s="44" customFormat="1" ht="76.5" customHeight="1">
      <c r="A18" s="2" t="s">
        <v>224</v>
      </c>
      <c r="B18" s="1" t="s">
        <v>222</v>
      </c>
      <c r="C18" s="5"/>
      <c r="D18" s="18"/>
      <c r="E18" s="5"/>
      <c r="F18" s="5"/>
      <c r="G18" s="5"/>
      <c r="H18" s="5"/>
      <c r="I18" s="18"/>
      <c r="J18" s="5"/>
      <c r="K18" s="76">
        <v>23000</v>
      </c>
      <c r="L18" s="74"/>
      <c r="M18" s="76">
        <v>23000</v>
      </c>
      <c r="N18" s="76">
        <v>23000</v>
      </c>
    </row>
    <row r="19" spans="1:14" s="44" customFormat="1" ht="65.25" customHeight="1">
      <c r="A19" s="2" t="s">
        <v>225</v>
      </c>
      <c r="B19" s="1" t="s">
        <v>2</v>
      </c>
      <c r="C19" s="5"/>
      <c r="D19" s="18"/>
      <c r="E19" s="5"/>
      <c r="F19" s="5"/>
      <c r="G19" s="5"/>
      <c r="H19" s="5"/>
      <c r="I19" s="18"/>
      <c r="J19" s="5"/>
      <c r="K19" s="76">
        <v>3767000</v>
      </c>
      <c r="L19" s="74"/>
      <c r="M19" s="76">
        <v>3767000</v>
      </c>
      <c r="N19" s="76">
        <v>3767000</v>
      </c>
    </row>
    <row r="20" spans="1:14" s="44" customFormat="1" ht="66.75" customHeight="1">
      <c r="A20" s="2" t="s">
        <v>226</v>
      </c>
      <c r="B20" s="1" t="s">
        <v>5</v>
      </c>
      <c r="C20" s="5"/>
      <c r="D20" s="18"/>
      <c r="E20" s="5"/>
      <c r="F20" s="5"/>
      <c r="G20" s="5"/>
      <c r="H20" s="5"/>
      <c r="I20" s="18"/>
      <c r="J20" s="5"/>
      <c r="K20" s="76">
        <v>-403000</v>
      </c>
      <c r="L20" s="74"/>
      <c r="M20" s="76">
        <v>-403000</v>
      </c>
      <c r="N20" s="76">
        <v>-403000</v>
      </c>
    </row>
    <row r="21" spans="1:14" s="44" customFormat="1" ht="29.25" customHeight="1">
      <c r="A21" s="25" t="s">
        <v>22</v>
      </c>
      <c r="B21" s="10" t="s">
        <v>23</v>
      </c>
      <c r="C21" s="3">
        <f>SUM(C22:C25)</f>
        <v>16869</v>
      </c>
      <c r="D21" s="3">
        <f aca="true" t="shared" si="4" ref="D21:K21">SUM(D22:D25)</f>
        <v>-816.1000000000004</v>
      </c>
      <c r="E21" s="3">
        <f t="shared" si="4"/>
        <v>17685.1</v>
      </c>
      <c r="F21" s="3">
        <f t="shared" si="4"/>
        <v>15796.1</v>
      </c>
      <c r="G21" s="3">
        <f t="shared" si="4"/>
        <v>14796.1</v>
      </c>
      <c r="H21" s="3">
        <f t="shared" si="4"/>
        <v>14766.1</v>
      </c>
      <c r="I21" s="3">
        <f t="shared" si="4"/>
        <v>0</v>
      </c>
      <c r="J21" s="3">
        <f t="shared" si="4"/>
        <v>16869</v>
      </c>
      <c r="K21" s="64">
        <f t="shared" si="4"/>
        <v>19783200</v>
      </c>
      <c r="L21" s="74">
        <f t="shared" si="2"/>
        <v>19766331</v>
      </c>
      <c r="M21" s="64">
        <f>SUM(M22:M25)</f>
        <v>19727640</v>
      </c>
      <c r="N21" s="64">
        <f>SUM(N22:N25)</f>
        <v>18900243</v>
      </c>
    </row>
    <row r="22" spans="1:14" s="44" customFormat="1" ht="34.5" customHeight="1">
      <c r="A22" s="2" t="s">
        <v>191</v>
      </c>
      <c r="B22" s="1" t="s">
        <v>192</v>
      </c>
      <c r="C22" s="4">
        <v>3570</v>
      </c>
      <c r="D22" s="18">
        <f t="shared" si="1"/>
        <v>-3784.6000000000004</v>
      </c>
      <c r="E22" s="5">
        <v>7354.6</v>
      </c>
      <c r="F22" s="5">
        <v>4831.6</v>
      </c>
      <c r="G22" s="5">
        <v>3831.6</v>
      </c>
      <c r="H22" s="5">
        <v>2801.6</v>
      </c>
      <c r="I22" s="18">
        <f aca="true" t="shared" si="5" ref="I22:I27">SUM(C22-J22)</f>
        <v>0</v>
      </c>
      <c r="J22" s="5">
        <v>3570</v>
      </c>
      <c r="K22" s="76">
        <f>11997000-165800</f>
        <v>11831200</v>
      </c>
      <c r="L22" s="74">
        <f t="shared" si="2"/>
        <v>11827630</v>
      </c>
      <c r="M22" s="76">
        <v>12000000</v>
      </c>
      <c r="N22" s="76">
        <v>12200000</v>
      </c>
    </row>
    <row r="23" spans="1:14" ht="33" customHeight="1">
      <c r="A23" s="2" t="s">
        <v>138</v>
      </c>
      <c r="B23" s="1" t="s">
        <v>24</v>
      </c>
      <c r="C23" s="4">
        <v>12993</v>
      </c>
      <c r="D23" s="18">
        <f t="shared" si="1"/>
        <v>2826.5</v>
      </c>
      <c r="E23" s="5">
        <v>10166.5</v>
      </c>
      <c r="F23" s="5">
        <v>10166.5</v>
      </c>
      <c r="G23" s="5">
        <v>10166.5</v>
      </c>
      <c r="H23" s="5">
        <v>10166.5</v>
      </c>
      <c r="I23" s="18">
        <f t="shared" si="5"/>
        <v>0</v>
      </c>
      <c r="J23" s="5">
        <v>12993</v>
      </c>
      <c r="K23" s="65">
        <v>7101000</v>
      </c>
      <c r="L23" s="74">
        <f t="shared" si="2"/>
        <v>7088007</v>
      </c>
      <c r="M23" s="65">
        <f>6297000+512640</f>
        <v>6809640</v>
      </c>
      <c r="N23" s="65">
        <f>5089000+643243</f>
        <v>5732243</v>
      </c>
    </row>
    <row r="24" spans="1:14" ht="24.75" customHeight="1">
      <c r="A24" s="2" t="s">
        <v>139</v>
      </c>
      <c r="B24" s="1" t="s">
        <v>25</v>
      </c>
      <c r="C24" s="4">
        <v>1</v>
      </c>
      <c r="D24" s="18">
        <f t="shared" si="1"/>
        <v>-50</v>
      </c>
      <c r="E24" s="5">
        <v>51</v>
      </c>
      <c r="F24" s="5">
        <v>8</v>
      </c>
      <c r="G24" s="5">
        <v>8</v>
      </c>
      <c r="H24" s="5">
        <v>8</v>
      </c>
      <c r="I24" s="18">
        <f t="shared" si="5"/>
        <v>0</v>
      </c>
      <c r="J24" s="5">
        <v>1</v>
      </c>
      <c r="K24" s="65">
        <v>18000</v>
      </c>
      <c r="L24" s="74">
        <f t="shared" si="2"/>
        <v>17999</v>
      </c>
      <c r="M24" s="65">
        <v>18000</v>
      </c>
      <c r="N24" s="65">
        <v>18000</v>
      </c>
    </row>
    <row r="25" spans="1:14" ht="51" customHeight="1">
      <c r="A25" s="2" t="s">
        <v>184</v>
      </c>
      <c r="B25" s="1" t="s">
        <v>185</v>
      </c>
      <c r="C25" s="4">
        <v>305</v>
      </c>
      <c r="D25" s="18">
        <f t="shared" si="1"/>
        <v>192</v>
      </c>
      <c r="E25" s="5">
        <v>113</v>
      </c>
      <c r="F25" s="5">
        <v>790</v>
      </c>
      <c r="G25" s="5">
        <v>790</v>
      </c>
      <c r="H25" s="5">
        <f>2100-250-30-30</f>
        <v>1790</v>
      </c>
      <c r="I25" s="18">
        <f t="shared" si="5"/>
        <v>0</v>
      </c>
      <c r="J25" s="5">
        <v>305</v>
      </c>
      <c r="K25" s="76">
        <v>833000</v>
      </c>
      <c r="L25" s="74">
        <f t="shared" si="2"/>
        <v>832695</v>
      </c>
      <c r="M25" s="76">
        <v>900000</v>
      </c>
      <c r="N25" s="76">
        <v>950000</v>
      </c>
    </row>
    <row r="26" spans="1:14" ht="28.5" customHeight="1" hidden="1">
      <c r="A26" s="25" t="s">
        <v>176</v>
      </c>
      <c r="B26" s="11" t="s">
        <v>177</v>
      </c>
      <c r="C26" s="12">
        <f>SUM(C27)</f>
        <v>0</v>
      </c>
      <c r="D26" s="18">
        <f t="shared" si="1"/>
        <v>-1300</v>
      </c>
      <c r="E26" s="14">
        <f>SUM(E27)</f>
        <v>1300</v>
      </c>
      <c r="F26" s="14">
        <f>SUM(F27)</f>
        <v>1300</v>
      </c>
      <c r="G26" s="14">
        <f>SUM(G27)</f>
        <v>1300</v>
      </c>
      <c r="H26" s="14">
        <f>SUM(H27)</f>
        <v>1300</v>
      </c>
      <c r="I26" s="18">
        <f t="shared" si="5"/>
        <v>0</v>
      </c>
      <c r="J26" s="14">
        <f>SUM(J27)</f>
        <v>0</v>
      </c>
      <c r="K26" s="75"/>
      <c r="L26" s="74">
        <f t="shared" si="2"/>
        <v>0</v>
      </c>
      <c r="M26" s="75"/>
      <c r="N26" s="75"/>
    </row>
    <row r="27" spans="1:14" ht="36.75" customHeight="1" hidden="1">
      <c r="A27" s="2" t="s">
        <v>178</v>
      </c>
      <c r="B27" s="1" t="s">
        <v>179</v>
      </c>
      <c r="C27" s="4"/>
      <c r="D27" s="18">
        <f t="shared" si="1"/>
        <v>-1300</v>
      </c>
      <c r="E27" s="5">
        <v>1300</v>
      </c>
      <c r="F27" s="5">
        <v>1300</v>
      </c>
      <c r="G27" s="5">
        <v>1300</v>
      </c>
      <c r="H27" s="5">
        <v>1300</v>
      </c>
      <c r="I27" s="18">
        <f t="shared" si="5"/>
        <v>0</v>
      </c>
      <c r="J27" s="5"/>
      <c r="K27" s="75"/>
      <c r="L27" s="74">
        <f t="shared" si="2"/>
        <v>0</v>
      </c>
      <c r="M27" s="75"/>
      <c r="N27" s="75"/>
    </row>
    <row r="28" spans="1:14" s="44" customFormat="1" ht="28.5" customHeight="1">
      <c r="A28" s="25" t="s">
        <v>26</v>
      </c>
      <c r="B28" s="10" t="s">
        <v>27</v>
      </c>
      <c r="C28" s="3">
        <f>SUM(C29:C31)</f>
        <v>2350</v>
      </c>
      <c r="D28" s="3">
        <f aca="true" t="shared" si="6" ref="D28:K28">SUM(D29:D31)</f>
        <v>300</v>
      </c>
      <c r="E28" s="3">
        <f t="shared" si="6"/>
        <v>2050</v>
      </c>
      <c r="F28" s="3">
        <f t="shared" si="6"/>
        <v>1230</v>
      </c>
      <c r="G28" s="3">
        <f t="shared" si="6"/>
        <v>1230</v>
      </c>
      <c r="H28" s="3">
        <f t="shared" si="6"/>
        <v>1230</v>
      </c>
      <c r="I28" s="3">
        <f t="shared" si="6"/>
        <v>100</v>
      </c>
      <c r="J28" s="3">
        <f t="shared" si="6"/>
        <v>2250</v>
      </c>
      <c r="K28" s="64">
        <f t="shared" si="6"/>
        <v>2192000</v>
      </c>
      <c r="L28" s="74">
        <f t="shared" si="2"/>
        <v>2189650</v>
      </c>
      <c r="M28" s="64">
        <f>SUM(M29:M31)</f>
        <v>2192000</v>
      </c>
      <c r="N28" s="64">
        <f>SUM(N29:N31)</f>
        <v>2192000</v>
      </c>
    </row>
    <row r="29" spans="1:14" ht="48" customHeight="1">
      <c r="A29" s="2" t="s">
        <v>47</v>
      </c>
      <c r="B29" s="1" t="s">
        <v>102</v>
      </c>
      <c r="C29" s="4">
        <v>2250</v>
      </c>
      <c r="D29" s="18">
        <f t="shared" si="1"/>
        <v>250</v>
      </c>
      <c r="E29" s="5">
        <v>2000</v>
      </c>
      <c r="F29" s="5">
        <v>1200</v>
      </c>
      <c r="G29" s="5">
        <v>1200</v>
      </c>
      <c r="H29" s="5">
        <v>1200</v>
      </c>
      <c r="I29" s="18">
        <f aca="true" t="shared" si="7" ref="I29:I38">SUM(C29-J29)</f>
        <v>0</v>
      </c>
      <c r="J29" s="5">
        <v>2250</v>
      </c>
      <c r="K29" s="76">
        <v>2167000</v>
      </c>
      <c r="L29" s="74">
        <f t="shared" si="2"/>
        <v>2164750</v>
      </c>
      <c r="M29" s="76">
        <v>2167000</v>
      </c>
      <c r="N29" s="76">
        <v>2167000</v>
      </c>
    </row>
    <row r="30" spans="1:14" ht="60" hidden="1">
      <c r="A30" s="2" t="s">
        <v>152</v>
      </c>
      <c r="B30" s="1" t="s">
        <v>161</v>
      </c>
      <c r="C30" s="4"/>
      <c r="D30" s="18">
        <f t="shared" si="1"/>
        <v>0</v>
      </c>
      <c r="E30" s="5"/>
      <c r="F30" s="5"/>
      <c r="G30" s="5"/>
      <c r="H30" s="5"/>
      <c r="I30" s="18">
        <f t="shared" si="7"/>
        <v>0</v>
      </c>
      <c r="J30" s="5"/>
      <c r="K30" s="76"/>
      <c r="L30" s="74">
        <f t="shared" si="2"/>
        <v>0</v>
      </c>
      <c r="M30" s="76"/>
      <c r="N30" s="76"/>
    </row>
    <row r="31" spans="1:14" ht="34.5" customHeight="1">
      <c r="A31" s="2" t="s">
        <v>48</v>
      </c>
      <c r="B31" s="1" t="s">
        <v>93</v>
      </c>
      <c r="C31" s="4">
        <v>100</v>
      </c>
      <c r="D31" s="18">
        <f t="shared" si="1"/>
        <v>50</v>
      </c>
      <c r="E31" s="5">
        <v>50</v>
      </c>
      <c r="F31" s="5">
        <v>30</v>
      </c>
      <c r="G31" s="5">
        <v>30</v>
      </c>
      <c r="H31" s="5">
        <v>30</v>
      </c>
      <c r="I31" s="18">
        <f t="shared" si="7"/>
        <v>100</v>
      </c>
      <c r="J31" s="5">
        <v>0</v>
      </c>
      <c r="K31" s="76">
        <v>25000</v>
      </c>
      <c r="L31" s="74">
        <f t="shared" si="2"/>
        <v>24900</v>
      </c>
      <c r="M31" s="76">
        <f>94000-69000</f>
        <v>25000</v>
      </c>
      <c r="N31" s="76">
        <f>94000-69000</f>
        <v>25000</v>
      </c>
    </row>
    <row r="32" spans="1:14" s="44" customFormat="1" ht="0.75" customHeight="1" hidden="1">
      <c r="A32" s="27" t="s">
        <v>49</v>
      </c>
      <c r="B32" s="13" t="s">
        <v>50</v>
      </c>
      <c r="C32" s="14">
        <f>SUM(C33,C34,C36,C37)</f>
        <v>0</v>
      </c>
      <c r="D32" s="18">
        <f t="shared" si="1"/>
        <v>0</v>
      </c>
      <c r="E32" s="14">
        <f>SUM(E33,E34,E36,E37)</f>
        <v>0</v>
      </c>
      <c r="F32" s="14">
        <f>SUM(F33,F34,F36,F37)</f>
        <v>0</v>
      </c>
      <c r="G32" s="14">
        <f>SUM(G33,G34,G36,G37)</f>
        <v>0</v>
      </c>
      <c r="H32" s="14">
        <f>SUM(H33,H34,H36,H37)</f>
        <v>0</v>
      </c>
      <c r="I32" s="18">
        <f t="shared" si="7"/>
        <v>0</v>
      </c>
      <c r="J32" s="14">
        <f>SUM(J33,J34,J36,J37)</f>
        <v>0</v>
      </c>
      <c r="K32" s="79"/>
      <c r="L32" s="74">
        <f t="shared" si="2"/>
        <v>0</v>
      </c>
      <c r="M32" s="79"/>
      <c r="N32" s="79"/>
    </row>
    <row r="33" spans="1:14" ht="25.5" hidden="1">
      <c r="A33" s="28" t="s">
        <v>51</v>
      </c>
      <c r="B33" s="15" t="s">
        <v>52</v>
      </c>
      <c r="C33" s="5">
        <v>0</v>
      </c>
      <c r="D33" s="18">
        <f t="shared" si="1"/>
        <v>0</v>
      </c>
      <c r="E33" s="5">
        <v>0</v>
      </c>
      <c r="F33" s="5">
        <v>0</v>
      </c>
      <c r="G33" s="5">
        <v>0</v>
      </c>
      <c r="H33" s="5">
        <v>0</v>
      </c>
      <c r="I33" s="18">
        <f t="shared" si="7"/>
        <v>0</v>
      </c>
      <c r="J33" s="5">
        <v>0</v>
      </c>
      <c r="K33" s="75"/>
      <c r="L33" s="74">
        <f t="shared" si="2"/>
        <v>0</v>
      </c>
      <c r="M33" s="75"/>
      <c r="N33" s="75"/>
    </row>
    <row r="34" spans="1:14" ht="12.75" hidden="1">
      <c r="A34" s="28" t="s">
        <v>53</v>
      </c>
      <c r="B34" s="15" t="s">
        <v>54</v>
      </c>
      <c r="C34" s="5">
        <f>SUM(C35)</f>
        <v>0</v>
      </c>
      <c r="D34" s="18">
        <f t="shared" si="1"/>
        <v>0</v>
      </c>
      <c r="E34" s="5">
        <f>SUM(E35)</f>
        <v>0</v>
      </c>
      <c r="F34" s="5">
        <f>SUM(F35)</f>
        <v>0</v>
      </c>
      <c r="G34" s="5">
        <f>SUM(G35)</f>
        <v>0</v>
      </c>
      <c r="H34" s="5">
        <f>SUM(H35)</f>
        <v>0</v>
      </c>
      <c r="I34" s="18">
        <f t="shared" si="7"/>
        <v>0</v>
      </c>
      <c r="J34" s="5">
        <f>SUM(J35)</f>
        <v>0</v>
      </c>
      <c r="K34" s="75"/>
      <c r="L34" s="74">
        <f t="shared" si="2"/>
        <v>0</v>
      </c>
      <c r="M34" s="75"/>
      <c r="N34" s="75"/>
    </row>
    <row r="35" spans="1:14" ht="25.5" hidden="1">
      <c r="A35" s="28" t="s">
        <v>55</v>
      </c>
      <c r="B35" s="15" t="s">
        <v>56</v>
      </c>
      <c r="C35" s="5">
        <v>0</v>
      </c>
      <c r="D35" s="18">
        <f t="shared" si="1"/>
        <v>0</v>
      </c>
      <c r="E35" s="5">
        <v>0</v>
      </c>
      <c r="F35" s="5">
        <v>0</v>
      </c>
      <c r="G35" s="5">
        <v>0</v>
      </c>
      <c r="H35" s="5">
        <v>0</v>
      </c>
      <c r="I35" s="18">
        <f t="shared" si="7"/>
        <v>0</v>
      </c>
      <c r="J35" s="5">
        <v>0</v>
      </c>
      <c r="K35" s="75"/>
      <c r="L35" s="74">
        <f t="shared" si="2"/>
        <v>0</v>
      </c>
      <c r="M35" s="75"/>
      <c r="N35" s="75"/>
    </row>
    <row r="36" spans="1:14" ht="12.75" hidden="1">
      <c r="A36" s="28" t="s">
        <v>83</v>
      </c>
      <c r="B36" s="15" t="s">
        <v>84</v>
      </c>
      <c r="C36" s="5">
        <v>0</v>
      </c>
      <c r="D36" s="18">
        <f t="shared" si="1"/>
        <v>0</v>
      </c>
      <c r="E36" s="5">
        <v>0</v>
      </c>
      <c r="F36" s="5">
        <v>0</v>
      </c>
      <c r="G36" s="5">
        <v>0</v>
      </c>
      <c r="H36" s="5">
        <v>0</v>
      </c>
      <c r="I36" s="18">
        <f t="shared" si="7"/>
        <v>0</v>
      </c>
      <c r="J36" s="5">
        <v>0</v>
      </c>
      <c r="K36" s="75"/>
      <c r="L36" s="74">
        <f t="shared" si="2"/>
        <v>0</v>
      </c>
      <c r="M36" s="75"/>
      <c r="N36" s="75"/>
    </row>
    <row r="37" spans="1:14" ht="12.75" hidden="1">
      <c r="A37" s="28" t="s">
        <v>57</v>
      </c>
      <c r="B37" s="15" t="s">
        <v>58</v>
      </c>
      <c r="C37" s="5">
        <f>SUM(C38)</f>
        <v>0</v>
      </c>
      <c r="D37" s="18">
        <f t="shared" si="1"/>
        <v>0</v>
      </c>
      <c r="E37" s="5">
        <f>SUM(E38)</f>
        <v>0</v>
      </c>
      <c r="F37" s="5">
        <f>SUM(F38)</f>
        <v>0</v>
      </c>
      <c r="G37" s="5">
        <f>SUM(G38)</f>
        <v>0</v>
      </c>
      <c r="H37" s="5">
        <f>SUM(H38)</f>
        <v>0</v>
      </c>
      <c r="I37" s="18">
        <f t="shared" si="7"/>
        <v>0</v>
      </c>
      <c r="J37" s="5">
        <f>SUM(J38)</f>
        <v>0</v>
      </c>
      <c r="K37" s="75"/>
      <c r="L37" s="74">
        <f t="shared" si="2"/>
        <v>0</v>
      </c>
      <c r="M37" s="75"/>
      <c r="N37" s="75"/>
    </row>
    <row r="38" spans="1:14" ht="25.5" hidden="1">
      <c r="A38" s="28" t="s">
        <v>59</v>
      </c>
      <c r="B38" s="6" t="s">
        <v>60</v>
      </c>
      <c r="C38" s="5">
        <v>0</v>
      </c>
      <c r="D38" s="18">
        <f t="shared" si="1"/>
        <v>0</v>
      </c>
      <c r="E38" s="5">
        <v>0</v>
      </c>
      <c r="F38" s="5">
        <v>0</v>
      </c>
      <c r="G38" s="5">
        <v>0</v>
      </c>
      <c r="H38" s="5">
        <v>0</v>
      </c>
      <c r="I38" s="18">
        <f t="shared" si="7"/>
        <v>0</v>
      </c>
      <c r="J38" s="5">
        <v>0</v>
      </c>
      <c r="K38" s="75"/>
      <c r="L38" s="74">
        <f t="shared" si="2"/>
        <v>0</v>
      </c>
      <c r="M38" s="75"/>
      <c r="N38" s="75"/>
    </row>
    <row r="39" spans="1:14" s="44" customFormat="1" ht="45" customHeight="1">
      <c r="A39" s="25" t="s">
        <v>61</v>
      </c>
      <c r="B39" s="10" t="s">
        <v>62</v>
      </c>
      <c r="C39" s="3">
        <f aca="true" t="shared" si="8" ref="C39:K39">SUM(C40,C42,C48,C50)</f>
        <v>26356</v>
      </c>
      <c r="D39" s="3">
        <f t="shared" si="8"/>
        <v>11671</v>
      </c>
      <c r="E39" s="3">
        <f t="shared" si="8"/>
        <v>14683</v>
      </c>
      <c r="F39" s="3">
        <f t="shared" si="8"/>
        <v>14683</v>
      </c>
      <c r="G39" s="3">
        <f t="shared" si="8"/>
        <v>14683</v>
      </c>
      <c r="H39" s="3">
        <f t="shared" si="8"/>
        <v>14683</v>
      </c>
      <c r="I39" s="3">
        <f t="shared" si="8"/>
        <v>0</v>
      </c>
      <c r="J39" s="3">
        <f t="shared" si="8"/>
        <v>26356</v>
      </c>
      <c r="K39" s="64">
        <f t="shared" si="8"/>
        <v>15755954</v>
      </c>
      <c r="L39" s="74">
        <f t="shared" si="2"/>
        <v>15729598</v>
      </c>
      <c r="M39" s="64">
        <f>SUM(M40,M42,M48,M50)</f>
        <v>14486811</v>
      </c>
      <c r="N39" s="64">
        <f>SUM(N40,N42,N48,N50)</f>
        <v>15177827</v>
      </c>
    </row>
    <row r="40" spans="1:14" ht="63" hidden="1">
      <c r="A40" s="25" t="s">
        <v>63</v>
      </c>
      <c r="B40" s="10" t="s">
        <v>142</v>
      </c>
      <c r="C40" s="3">
        <f>SUM(C41)</f>
        <v>0</v>
      </c>
      <c r="D40" s="18">
        <f t="shared" si="1"/>
        <v>0</v>
      </c>
      <c r="E40" s="14">
        <f>SUM(E41)</f>
        <v>0</v>
      </c>
      <c r="F40" s="14">
        <f>SUM(F41)</f>
        <v>0</v>
      </c>
      <c r="G40" s="14">
        <f>SUM(G41)</f>
        <v>0</v>
      </c>
      <c r="H40" s="14">
        <f>SUM(H41)</f>
        <v>0</v>
      </c>
      <c r="I40" s="18">
        <f>SUM(C40-J40)</f>
        <v>0</v>
      </c>
      <c r="J40" s="14">
        <f>SUM(J41)</f>
        <v>0</v>
      </c>
      <c r="K40" s="75"/>
      <c r="L40" s="74">
        <f t="shared" si="2"/>
        <v>0</v>
      </c>
      <c r="M40" s="75"/>
      <c r="N40" s="75"/>
    </row>
    <row r="41" spans="1:14" ht="45" hidden="1">
      <c r="A41" s="2" t="s">
        <v>64</v>
      </c>
      <c r="B41" s="1" t="s">
        <v>103</v>
      </c>
      <c r="C41" s="4">
        <v>0</v>
      </c>
      <c r="D41" s="18">
        <f t="shared" si="1"/>
        <v>0</v>
      </c>
      <c r="E41" s="5">
        <v>0</v>
      </c>
      <c r="F41" s="5">
        <v>0</v>
      </c>
      <c r="G41" s="5">
        <v>0</v>
      </c>
      <c r="H41" s="5">
        <v>0</v>
      </c>
      <c r="I41" s="18">
        <f>SUM(C41-J41)</f>
        <v>0</v>
      </c>
      <c r="J41" s="5">
        <v>0</v>
      </c>
      <c r="K41" s="75"/>
      <c r="L41" s="74">
        <f t="shared" si="2"/>
        <v>0</v>
      </c>
      <c r="M41" s="75"/>
      <c r="N41" s="75"/>
    </row>
    <row r="42" spans="1:14" ht="94.5" customHeight="1">
      <c r="A42" s="25" t="s">
        <v>65</v>
      </c>
      <c r="B42" s="10" t="s">
        <v>140</v>
      </c>
      <c r="C42" s="3">
        <f aca="true" t="shared" si="9" ref="C42:J42">SUM(C44:C46)</f>
        <v>14740</v>
      </c>
      <c r="D42" s="3">
        <f t="shared" si="9"/>
        <v>185</v>
      </c>
      <c r="E42" s="3">
        <f t="shared" si="9"/>
        <v>14555</v>
      </c>
      <c r="F42" s="3">
        <f t="shared" si="9"/>
        <v>14555</v>
      </c>
      <c r="G42" s="3">
        <f t="shared" si="9"/>
        <v>14555</v>
      </c>
      <c r="H42" s="3">
        <f t="shared" si="9"/>
        <v>14555</v>
      </c>
      <c r="I42" s="3">
        <f t="shared" si="9"/>
        <v>0</v>
      </c>
      <c r="J42" s="3">
        <f t="shared" si="9"/>
        <v>14740</v>
      </c>
      <c r="K42" s="64">
        <f>SUM(K43:K47)</f>
        <v>11543316</v>
      </c>
      <c r="L42" s="64">
        <f>SUM(L43:L47)</f>
        <v>9931149</v>
      </c>
      <c r="M42" s="64">
        <f>SUM(M43:M47)</f>
        <v>12193214</v>
      </c>
      <c r="N42" s="64">
        <f>SUM(N43:N47)</f>
        <v>12915293</v>
      </c>
    </row>
    <row r="43" spans="1:14" ht="81.75" customHeight="1">
      <c r="A43" s="2" t="s">
        <v>241</v>
      </c>
      <c r="B43" s="1" t="s">
        <v>242</v>
      </c>
      <c r="C43" s="3"/>
      <c r="D43" s="3"/>
      <c r="E43" s="3"/>
      <c r="F43" s="3"/>
      <c r="G43" s="3"/>
      <c r="H43" s="3"/>
      <c r="I43" s="3"/>
      <c r="J43" s="3"/>
      <c r="K43" s="65">
        <v>4634830</v>
      </c>
      <c r="L43" s="74">
        <f>SUM(K43-C43)</f>
        <v>4634830</v>
      </c>
      <c r="M43" s="65">
        <v>5090000</v>
      </c>
      <c r="N43" s="65">
        <v>5600000</v>
      </c>
    </row>
    <row r="44" spans="1:14" ht="69" customHeight="1" hidden="1">
      <c r="A44" s="2" t="s">
        <v>153</v>
      </c>
      <c r="B44" s="1" t="s">
        <v>270</v>
      </c>
      <c r="C44" s="4">
        <v>13468</v>
      </c>
      <c r="D44" s="18">
        <f t="shared" si="1"/>
        <v>173</v>
      </c>
      <c r="E44" s="5">
        <v>13295</v>
      </c>
      <c r="F44" s="5">
        <v>13295</v>
      </c>
      <c r="G44" s="5">
        <v>13295</v>
      </c>
      <c r="H44" s="5">
        <v>13295</v>
      </c>
      <c r="I44" s="18">
        <f>SUM(C44-J44)</f>
        <v>0</v>
      </c>
      <c r="J44" s="5">
        <v>13468</v>
      </c>
      <c r="K44" s="80"/>
      <c r="L44" s="74"/>
      <c r="M44" s="65"/>
      <c r="N44" s="65"/>
    </row>
    <row r="45" spans="1:14" ht="73.5" customHeight="1">
      <c r="A45" s="2" t="s">
        <v>227</v>
      </c>
      <c r="B45" s="1" t="s">
        <v>228</v>
      </c>
      <c r="C45" s="4"/>
      <c r="D45" s="18"/>
      <c r="E45" s="5"/>
      <c r="F45" s="5"/>
      <c r="G45" s="5"/>
      <c r="H45" s="5"/>
      <c r="I45" s="18"/>
      <c r="J45" s="5"/>
      <c r="K45" s="65">
        <v>1605260</v>
      </c>
      <c r="L45" s="74"/>
      <c r="M45" s="65">
        <v>1766260</v>
      </c>
      <c r="N45" s="65">
        <v>1943260</v>
      </c>
    </row>
    <row r="46" spans="1:14" ht="72" customHeight="1">
      <c r="A46" s="2" t="s">
        <v>91</v>
      </c>
      <c r="B46" s="1" t="s">
        <v>141</v>
      </c>
      <c r="C46" s="4">
        <v>1272</v>
      </c>
      <c r="D46" s="18">
        <f t="shared" si="1"/>
        <v>12</v>
      </c>
      <c r="E46" s="5">
        <v>1260</v>
      </c>
      <c r="F46" s="5">
        <v>1260</v>
      </c>
      <c r="G46" s="5">
        <v>1260</v>
      </c>
      <c r="H46" s="5">
        <v>1260</v>
      </c>
      <c r="I46" s="18">
        <f>SUM(C46-J46)</f>
        <v>0</v>
      </c>
      <c r="J46" s="5">
        <v>1272</v>
      </c>
      <c r="K46" s="65">
        <v>843226</v>
      </c>
      <c r="L46" s="74">
        <f t="shared" si="2"/>
        <v>841954</v>
      </c>
      <c r="M46" s="65">
        <v>876954</v>
      </c>
      <c r="N46" s="65">
        <v>912033</v>
      </c>
    </row>
    <row r="47" spans="1:14" ht="39" customHeight="1">
      <c r="A47" s="2" t="s">
        <v>214</v>
      </c>
      <c r="B47" s="1" t="s">
        <v>217</v>
      </c>
      <c r="C47" s="4">
        <v>5635</v>
      </c>
      <c r="D47" s="18">
        <f t="shared" si="1"/>
        <v>-1330</v>
      </c>
      <c r="E47" s="5">
        <v>6965</v>
      </c>
      <c r="F47" s="5">
        <v>6965</v>
      </c>
      <c r="G47" s="5">
        <v>6965</v>
      </c>
      <c r="H47" s="5">
        <v>6965</v>
      </c>
      <c r="I47" s="18">
        <f>SUM(C47-J47)</f>
        <v>0</v>
      </c>
      <c r="J47" s="5">
        <v>5635</v>
      </c>
      <c r="K47" s="76">
        <v>4460000</v>
      </c>
      <c r="L47" s="74">
        <f t="shared" si="2"/>
        <v>4454365</v>
      </c>
      <c r="M47" s="76">
        <v>4460000</v>
      </c>
      <c r="N47" s="76">
        <v>4460000</v>
      </c>
    </row>
    <row r="48" spans="1:14" ht="39.75" customHeight="1">
      <c r="A48" s="25" t="s">
        <v>66</v>
      </c>
      <c r="B48" s="10" t="s">
        <v>67</v>
      </c>
      <c r="C48" s="3">
        <f>SUM(C49)</f>
        <v>100</v>
      </c>
      <c r="D48" s="3">
        <f aca="true" t="shared" si="10" ref="D48:K48">SUM(D49)</f>
        <v>0</v>
      </c>
      <c r="E48" s="3">
        <f t="shared" si="10"/>
        <v>100</v>
      </c>
      <c r="F48" s="3">
        <f t="shared" si="10"/>
        <v>100</v>
      </c>
      <c r="G48" s="3">
        <f t="shared" si="10"/>
        <v>100</v>
      </c>
      <c r="H48" s="3">
        <f t="shared" si="10"/>
        <v>100</v>
      </c>
      <c r="I48" s="3">
        <f t="shared" si="10"/>
        <v>0</v>
      </c>
      <c r="J48" s="3">
        <f t="shared" si="10"/>
        <v>100</v>
      </c>
      <c r="K48" s="64">
        <f t="shared" si="10"/>
        <v>2290584</v>
      </c>
      <c r="L48" s="74">
        <f t="shared" si="2"/>
        <v>2290484</v>
      </c>
      <c r="M48" s="64">
        <f>SUM(M49)</f>
        <v>268240</v>
      </c>
      <c r="N48" s="64">
        <f>SUM(N49)</f>
        <v>268790</v>
      </c>
    </row>
    <row r="49" spans="1:15" ht="60.75" customHeight="1">
      <c r="A49" s="2" t="s">
        <v>68</v>
      </c>
      <c r="B49" s="1" t="s">
        <v>85</v>
      </c>
      <c r="C49" s="4">
        <v>100</v>
      </c>
      <c r="D49" s="18">
        <f t="shared" si="1"/>
        <v>0</v>
      </c>
      <c r="E49" s="5">
        <v>100</v>
      </c>
      <c r="F49" s="5">
        <v>100</v>
      </c>
      <c r="G49" s="5">
        <v>100</v>
      </c>
      <c r="H49" s="5">
        <v>100</v>
      </c>
      <c r="I49" s="18">
        <f>SUM(C49-J49)</f>
        <v>0</v>
      </c>
      <c r="J49" s="5">
        <v>100</v>
      </c>
      <c r="K49" s="76">
        <f>161780+106680+2022124</f>
        <v>2290584</v>
      </c>
      <c r="L49" s="74">
        <f t="shared" si="2"/>
        <v>2290484</v>
      </c>
      <c r="M49" s="76">
        <f>780880-512640</f>
        <v>268240</v>
      </c>
      <c r="N49" s="76">
        <f>912033-643243</f>
        <v>268790</v>
      </c>
      <c r="O49" s="113"/>
    </row>
    <row r="50" spans="1:14" ht="85.5" customHeight="1">
      <c r="A50" s="25" t="s">
        <v>69</v>
      </c>
      <c r="B50" s="10" t="s">
        <v>143</v>
      </c>
      <c r="C50" s="3">
        <f aca="true" t="shared" si="11" ref="C50:K50">SUM(C51:C55)</f>
        <v>11516</v>
      </c>
      <c r="D50" s="3">
        <f t="shared" si="11"/>
        <v>11486</v>
      </c>
      <c r="E50" s="3">
        <f t="shared" si="11"/>
        <v>28</v>
      </c>
      <c r="F50" s="3">
        <f t="shared" si="11"/>
        <v>28</v>
      </c>
      <c r="G50" s="3">
        <f t="shared" si="11"/>
        <v>28</v>
      </c>
      <c r="H50" s="3">
        <f t="shared" si="11"/>
        <v>28</v>
      </c>
      <c r="I50" s="3">
        <f t="shared" si="11"/>
        <v>0</v>
      </c>
      <c r="J50" s="3">
        <f t="shared" si="11"/>
        <v>11516</v>
      </c>
      <c r="K50" s="64">
        <f t="shared" si="11"/>
        <v>1922054</v>
      </c>
      <c r="L50" s="74">
        <f t="shared" si="2"/>
        <v>1910538</v>
      </c>
      <c r="M50" s="64">
        <f>SUM(M51:M55)</f>
        <v>2025357</v>
      </c>
      <c r="N50" s="64">
        <f>SUM(N51:N55)</f>
        <v>1993744</v>
      </c>
    </row>
    <row r="51" spans="1:19" ht="79.5" customHeight="1">
      <c r="A51" s="2" t="s">
        <v>231</v>
      </c>
      <c r="B51" s="1" t="s">
        <v>232</v>
      </c>
      <c r="C51" s="9">
        <v>2</v>
      </c>
      <c r="D51" s="18"/>
      <c r="E51" s="14"/>
      <c r="F51" s="14"/>
      <c r="G51" s="14"/>
      <c r="H51" s="14"/>
      <c r="I51" s="18">
        <f>SUM(C51-J51)</f>
        <v>0</v>
      </c>
      <c r="J51" s="5">
        <v>2</v>
      </c>
      <c r="K51" s="76">
        <v>1417402</v>
      </c>
      <c r="L51" s="74">
        <f t="shared" si="2"/>
        <v>1417400</v>
      </c>
      <c r="M51" s="76">
        <v>1417402</v>
      </c>
      <c r="N51" s="76">
        <v>1417402</v>
      </c>
      <c r="S51" s="32" t="s">
        <v>42</v>
      </c>
    </row>
    <row r="52" spans="1:14" ht="70.5" customHeight="1">
      <c r="A52" s="2" t="s">
        <v>276</v>
      </c>
      <c r="B52" s="1" t="s">
        <v>277</v>
      </c>
      <c r="C52" s="9"/>
      <c r="D52" s="18"/>
      <c r="E52" s="14"/>
      <c r="F52" s="14"/>
      <c r="G52" s="14"/>
      <c r="H52" s="14"/>
      <c r="I52" s="18"/>
      <c r="J52" s="5"/>
      <c r="K52" s="76">
        <v>36409</v>
      </c>
      <c r="L52" s="74"/>
      <c r="M52" s="76">
        <v>36409</v>
      </c>
      <c r="N52" s="76">
        <v>36409</v>
      </c>
    </row>
    <row r="53" spans="1:14" ht="68.25" customHeight="1">
      <c r="A53" s="2" t="s">
        <v>233</v>
      </c>
      <c r="B53" s="1" t="s">
        <v>198</v>
      </c>
      <c r="C53" s="9"/>
      <c r="D53" s="18"/>
      <c r="E53" s="14"/>
      <c r="F53" s="14"/>
      <c r="G53" s="14"/>
      <c r="H53" s="14"/>
      <c r="I53" s="18"/>
      <c r="J53" s="5"/>
      <c r="K53" s="76">
        <v>214666</v>
      </c>
      <c r="L53" s="74"/>
      <c r="M53" s="76">
        <v>214666</v>
      </c>
      <c r="N53" s="76">
        <v>214666</v>
      </c>
    </row>
    <row r="54" spans="1:14" ht="76.5" customHeight="1">
      <c r="A54" s="2" t="s">
        <v>215</v>
      </c>
      <c r="B54" s="1" t="s">
        <v>197</v>
      </c>
      <c r="C54" s="4">
        <v>5757</v>
      </c>
      <c r="D54" s="18">
        <f>SUM(C54-E54)</f>
        <v>5743</v>
      </c>
      <c r="E54" s="5">
        <v>14</v>
      </c>
      <c r="F54" s="5">
        <v>14</v>
      </c>
      <c r="G54" s="5">
        <v>14</v>
      </c>
      <c r="H54" s="5">
        <v>14</v>
      </c>
      <c r="I54" s="18">
        <f>SUM(C54-J54)</f>
        <v>0</v>
      </c>
      <c r="J54" s="5">
        <v>5757</v>
      </c>
      <c r="K54" s="76">
        <v>253577</v>
      </c>
      <c r="L54" s="74">
        <f>SUM(K54-C54)</f>
        <v>247820</v>
      </c>
      <c r="M54" s="76">
        <v>356880</v>
      </c>
      <c r="N54" s="76">
        <v>325267</v>
      </c>
    </row>
    <row r="55" spans="1:14" ht="90" customHeight="1" hidden="1">
      <c r="A55" s="2" t="s">
        <v>9</v>
      </c>
      <c r="B55" s="1" t="s">
        <v>12</v>
      </c>
      <c r="C55" s="4">
        <v>5757</v>
      </c>
      <c r="D55" s="18">
        <f t="shared" si="1"/>
        <v>5743</v>
      </c>
      <c r="E55" s="5">
        <v>14</v>
      </c>
      <c r="F55" s="5">
        <v>14</v>
      </c>
      <c r="G55" s="5">
        <v>14</v>
      </c>
      <c r="H55" s="5">
        <v>14</v>
      </c>
      <c r="I55" s="18">
        <f>SUM(C55-J55)</f>
        <v>0</v>
      </c>
      <c r="J55" s="5">
        <v>5757</v>
      </c>
      <c r="K55" s="81"/>
      <c r="L55" s="74"/>
      <c r="M55" s="76"/>
      <c r="N55" s="76"/>
    </row>
    <row r="56" spans="1:14" s="45" customFormat="1" ht="37.5" customHeight="1">
      <c r="A56" s="25" t="s">
        <v>70</v>
      </c>
      <c r="B56" s="10" t="s">
        <v>71</v>
      </c>
      <c r="C56" s="3">
        <f>SUM(C57)</f>
        <v>1141</v>
      </c>
      <c r="D56" s="3">
        <f aca="true" t="shared" si="12" ref="D56:J56">SUM(D57)</f>
        <v>-207</v>
      </c>
      <c r="E56" s="3">
        <f t="shared" si="12"/>
        <v>1348</v>
      </c>
      <c r="F56" s="3">
        <f t="shared" si="12"/>
        <v>1348</v>
      </c>
      <c r="G56" s="3">
        <f t="shared" si="12"/>
        <v>1348</v>
      </c>
      <c r="H56" s="3">
        <f t="shared" si="12"/>
        <v>1348</v>
      </c>
      <c r="I56" s="3">
        <f t="shared" si="12"/>
        <v>0</v>
      </c>
      <c r="J56" s="3">
        <f t="shared" si="12"/>
        <v>1141</v>
      </c>
      <c r="K56" s="64">
        <f>SUM(K57)</f>
        <v>879000</v>
      </c>
      <c r="L56" s="74">
        <f t="shared" si="2"/>
        <v>877859</v>
      </c>
      <c r="M56" s="64">
        <f>SUM(M57)</f>
        <v>629000</v>
      </c>
      <c r="N56" s="64">
        <f>SUM(N57)</f>
        <v>629000</v>
      </c>
    </row>
    <row r="57" spans="1:14" s="46" customFormat="1" ht="30.75" customHeight="1">
      <c r="A57" s="2" t="s">
        <v>72</v>
      </c>
      <c r="B57" s="1" t="s">
        <v>73</v>
      </c>
      <c r="C57" s="4">
        <v>1141</v>
      </c>
      <c r="D57" s="18">
        <f t="shared" si="1"/>
        <v>-207</v>
      </c>
      <c r="E57" s="5">
        <v>1348</v>
      </c>
      <c r="F57" s="5">
        <v>1348</v>
      </c>
      <c r="G57" s="5">
        <v>1348</v>
      </c>
      <c r="H57" s="5">
        <v>1348</v>
      </c>
      <c r="I57" s="18">
        <f>SUM(C57-J57)</f>
        <v>0</v>
      </c>
      <c r="J57" s="5">
        <v>1141</v>
      </c>
      <c r="K57" s="76">
        <f>629000+250000</f>
        <v>879000</v>
      </c>
      <c r="L57" s="74">
        <f t="shared" si="2"/>
        <v>877859</v>
      </c>
      <c r="M57" s="76">
        <v>629000</v>
      </c>
      <c r="N57" s="76">
        <v>629000</v>
      </c>
    </row>
    <row r="58" spans="1:14" s="47" customFormat="1" ht="52.5" customHeight="1">
      <c r="A58" s="25" t="s">
        <v>109</v>
      </c>
      <c r="B58" s="10" t="s">
        <v>154</v>
      </c>
      <c r="C58" s="3">
        <f>SUM(C59:C66)</f>
        <v>13125</v>
      </c>
      <c r="D58" s="3">
        <f aca="true" t="shared" si="13" ref="D58:J58">SUM(D59:D66)</f>
        <v>-2716.7999999999993</v>
      </c>
      <c r="E58" s="3">
        <f t="shared" si="13"/>
        <v>15841.8</v>
      </c>
      <c r="F58" s="3">
        <f t="shared" si="13"/>
        <v>15741.8</v>
      </c>
      <c r="G58" s="3">
        <f t="shared" si="13"/>
        <v>15231.8</v>
      </c>
      <c r="H58" s="3">
        <f t="shared" si="13"/>
        <v>15191.8</v>
      </c>
      <c r="I58" s="3">
        <f t="shared" si="13"/>
        <v>0</v>
      </c>
      <c r="J58" s="3">
        <f t="shared" si="13"/>
        <v>13125</v>
      </c>
      <c r="K58" s="64">
        <f>SUM(K59,K63,K66)</f>
        <v>11685017.71</v>
      </c>
      <c r="L58" s="64">
        <f>SUM(L59,L66)</f>
        <v>552278.98</v>
      </c>
      <c r="M58" s="64">
        <f>SUM(M59,M66)</f>
        <v>8443250</v>
      </c>
      <c r="N58" s="64">
        <f>SUM(N59,N66)</f>
        <v>8447750</v>
      </c>
    </row>
    <row r="59" spans="1:14" s="46" customFormat="1" ht="49.5" customHeight="1">
      <c r="A59" s="2" t="s">
        <v>155</v>
      </c>
      <c r="B59" s="1" t="s">
        <v>156</v>
      </c>
      <c r="C59" s="4">
        <v>13125</v>
      </c>
      <c r="D59" s="18">
        <f t="shared" si="1"/>
        <v>-2716.7999999999993</v>
      </c>
      <c r="E59" s="5">
        <v>15841.8</v>
      </c>
      <c r="F59" s="5">
        <v>15741.8</v>
      </c>
      <c r="G59" s="5">
        <v>15231.8</v>
      </c>
      <c r="H59" s="5">
        <v>15161.8</v>
      </c>
      <c r="I59" s="18">
        <f>SUM(C59-J59)</f>
        <v>0</v>
      </c>
      <c r="J59" s="5">
        <v>13125</v>
      </c>
      <c r="K59" s="76">
        <f>SUM(K60:K62)</f>
        <v>11031050</v>
      </c>
      <c r="L59" s="76">
        <f>SUM(L60:L62)</f>
        <v>0</v>
      </c>
      <c r="M59" s="76">
        <f>SUM(M60:M62)</f>
        <v>8323250</v>
      </c>
      <c r="N59" s="76">
        <f>SUM(N60:N62)</f>
        <v>8327750</v>
      </c>
    </row>
    <row r="60" spans="1:14" s="46" customFormat="1" ht="49.5" customHeight="1" hidden="1">
      <c r="A60" s="28" t="s">
        <v>36</v>
      </c>
      <c r="B60" s="6" t="s">
        <v>39</v>
      </c>
      <c r="C60" s="5"/>
      <c r="D60" s="18"/>
      <c r="E60" s="5"/>
      <c r="F60" s="5"/>
      <c r="G60" s="5"/>
      <c r="H60" s="5"/>
      <c r="I60" s="18"/>
      <c r="J60" s="5"/>
      <c r="K60" s="82">
        <f>8150750+2711800</f>
        <v>10862550</v>
      </c>
      <c r="L60" s="83"/>
      <c r="M60" s="82">
        <v>8150750</v>
      </c>
      <c r="N60" s="82">
        <v>8150750</v>
      </c>
    </row>
    <row r="61" spans="1:14" s="46" customFormat="1" ht="49.5" customHeight="1" hidden="1">
      <c r="A61" s="28" t="s">
        <v>37</v>
      </c>
      <c r="B61" s="6" t="s">
        <v>40</v>
      </c>
      <c r="C61" s="5"/>
      <c r="D61" s="18"/>
      <c r="E61" s="5"/>
      <c r="F61" s="5"/>
      <c r="G61" s="5"/>
      <c r="H61" s="5"/>
      <c r="I61" s="18"/>
      <c r="J61" s="5"/>
      <c r="K61" s="82">
        <v>120000</v>
      </c>
      <c r="L61" s="83"/>
      <c r="M61" s="82">
        <v>122000</v>
      </c>
      <c r="N61" s="82">
        <v>125000</v>
      </c>
    </row>
    <row r="62" spans="1:14" s="46" customFormat="1" ht="49.5" customHeight="1" hidden="1">
      <c r="A62" s="28" t="s">
        <v>38</v>
      </c>
      <c r="B62" s="6" t="s">
        <v>41</v>
      </c>
      <c r="C62" s="5"/>
      <c r="D62" s="18"/>
      <c r="E62" s="5"/>
      <c r="F62" s="5"/>
      <c r="G62" s="5"/>
      <c r="H62" s="5"/>
      <c r="I62" s="18"/>
      <c r="J62" s="5"/>
      <c r="K62" s="82">
        <v>48500</v>
      </c>
      <c r="L62" s="83"/>
      <c r="M62" s="82">
        <v>50500</v>
      </c>
      <c r="N62" s="82">
        <v>52000</v>
      </c>
    </row>
    <row r="63" spans="1:14" s="46" customFormat="1" ht="49.5" customHeight="1">
      <c r="A63" s="2" t="s">
        <v>334</v>
      </c>
      <c r="B63" s="1" t="s">
        <v>335</v>
      </c>
      <c r="C63" s="5"/>
      <c r="D63" s="18"/>
      <c r="E63" s="5"/>
      <c r="F63" s="5"/>
      <c r="G63" s="5"/>
      <c r="H63" s="5"/>
      <c r="I63" s="18"/>
      <c r="J63" s="5"/>
      <c r="K63" s="76">
        <f>SUM(K64:K65)</f>
        <v>101688.73000000001</v>
      </c>
      <c r="L63" s="76">
        <f>SUM(L64:L65)</f>
        <v>0</v>
      </c>
      <c r="M63" s="76">
        <f>SUM(M64:M65)</f>
        <v>0</v>
      </c>
      <c r="N63" s="76">
        <f>SUM(N64:N65)</f>
        <v>0</v>
      </c>
    </row>
    <row r="64" spans="1:14" s="46" customFormat="1" ht="49.5" customHeight="1" hidden="1">
      <c r="A64" s="2" t="s">
        <v>338</v>
      </c>
      <c r="B64" s="6" t="s">
        <v>340</v>
      </c>
      <c r="C64" s="5"/>
      <c r="D64" s="18"/>
      <c r="E64" s="5"/>
      <c r="F64" s="5"/>
      <c r="G64" s="5"/>
      <c r="H64" s="5"/>
      <c r="I64" s="18"/>
      <c r="J64" s="5"/>
      <c r="K64" s="82">
        <v>50512.73</v>
      </c>
      <c r="L64" s="83"/>
      <c r="M64" s="82">
        <v>0</v>
      </c>
      <c r="N64" s="82">
        <v>0</v>
      </c>
    </row>
    <row r="65" spans="1:14" s="46" customFormat="1" ht="49.5" customHeight="1" hidden="1">
      <c r="A65" s="2" t="s">
        <v>339</v>
      </c>
      <c r="B65" s="6" t="s">
        <v>39</v>
      </c>
      <c r="C65" s="5"/>
      <c r="D65" s="18"/>
      <c r="E65" s="5"/>
      <c r="F65" s="5"/>
      <c r="G65" s="5"/>
      <c r="H65" s="5"/>
      <c r="I65" s="18"/>
      <c r="J65" s="5"/>
      <c r="K65" s="82">
        <v>51176</v>
      </c>
      <c r="L65" s="83"/>
      <c r="M65" s="82">
        <v>0</v>
      </c>
      <c r="N65" s="82">
        <v>0</v>
      </c>
    </row>
    <row r="66" spans="1:14" s="46" customFormat="1" ht="32.25" customHeight="1">
      <c r="A66" s="2" t="s">
        <v>170</v>
      </c>
      <c r="B66" s="1" t="s">
        <v>171</v>
      </c>
      <c r="C66" s="4">
        <v>0</v>
      </c>
      <c r="D66" s="18">
        <f t="shared" si="1"/>
        <v>0</v>
      </c>
      <c r="E66" s="5">
        <v>0</v>
      </c>
      <c r="F66" s="5">
        <v>0</v>
      </c>
      <c r="G66" s="5">
        <v>0</v>
      </c>
      <c r="H66" s="5">
        <v>30</v>
      </c>
      <c r="I66" s="18">
        <f>SUM(C66-J66)</f>
        <v>0</v>
      </c>
      <c r="J66" s="5">
        <v>0</v>
      </c>
      <c r="K66" s="76">
        <f>527278.98+25000</f>
        <v>552278.98</v>
      </c>
      <c r="L66" s="74">
        <f t="shared" si="2"/>
        <v>552278.98</v>
      </c>
      <c r="M66" s="76">
        <v>120000</v>
      </c>
      <c r="N66" s="76">
        <v>120000</v>
      </c>
    </row>
    <row r="67" spans="1:14" s="45" customFormat="1" ht="37.5" customHeight="1">
      <c r="A67" s="25" t="s">
        <v>74</v>
      </c>
      <c r="B67" s="10" t="s">
        <v>75</v>
      </c>
      <c r="C67" s="3">
        <f>SUM(C68:C72)</f>
        <v>59978.6</v>
      </c>
      <c r="D67" s="3">
        <f aca="true" t="shared" si="14" ref="D67:K67">SUM(D68:D72)</f>
        <v>-23196.4</v>
      </c>
      <c r="E67" s="3">
        <f t="shared" si="14"/>
        <v>83175</v>
      </c>
      <c r="F67" s="3">
        <f t="shared" si="14"/>
        <v>86084</v>
      </c>
      <c r="G67" s="3">
        <f t="shared" si="14"/>
        <v>66624</v>
      </c>
      <c r="H67" s="3">
        <f t="shared" si="14"/>
        <v>66024</v>
      </c>
      <c r="I67" s="3">
        <f t="shared" si="14"/>
        <v>-786.3999999999996</v>
      </c>
      <c r="J67" s="3">
        <f t="shared" si="14"/>
        <v>60765</v>
      </c>
      <c r="K67" s="64">
        <f t="shared" si="14"/>
        <v>35472679</v>
      </c>
      <c r="L67" s="74">
        <f t="shared" si="2"/>
        <v>35412700.4</v>
      </c>
      <c r="M67" s="64">
        <f>SUM(M68:M72)</f>
        <v>7921844</v>
      </c>
      <c r="N67" s="64">
        <f>SUM(N68:N72)</f>
        <v>8494027</v>
      </c>
    </row>
    <row r="68" spans="1:14" s="46" customFormat="1" ht="81" customHeight="1">
      <c r="A68" s="2" t="s">
        <v>157</v>
      </c>
      <c r="B68" s="1" t="s">
        <v>158</v>
      </c>
      <c r="C68" s="4">
        <v>6600</v>
      </c>
      <c r="D68" s="18">
        <f t="shared" si="1"/>
        <v>5309</v>
      </c>
      <c r="E68" s="5">
        <v>1291</v>
      </c>
      <c r="F68" s="5">
        <f>4200</f>
        <v>4200</v>
      </c>
      <c r="G68" s="5">
        <f>4200</f>
        <v>4200</v>
      </c>
      <c r="H68" s="5">
        <f>4200</f>
        <v>4200</v>
      </c>
      <c r="I68" s="18">
        <f>SUM(C68-J68)</f>
        <v>0</v>
      </c>
      <c r="J68" s="5">
        <v>6600</v>
      </c>
      <c r="K68" s="65">
        <f>22719583+578670-1500000+3075136</f>
        <v>24873389</v>
      </c>
      <c r="L68" s="74">
        <f t="shared" si="2"/>
        <v>24866789</v>
      </c>
      <c r="M68" s="65">
        <v>200000</v>
      </c>
      <c r="N68" s="65">
        <v>0</v>
      </c>
    </row>
    <row r="69" spans="1:14" s="46" customFormat="1" ht="63.75" customHeight="1">
      <c r="A69" s="2" t="s">
        <v>243</v>
      </c>
      <c r="B69" s="1" t="s">
        <v>244</v>
      </c>
      <c r="C69" s="4">
        <f>19931-275</f>
        <v>19656</v>
      </c>
      <c r="D69" s="18">
        <f>SUM(C69-E69)</f>
        <v>-6286</v>
      </c>
      <c r="E69" s="5">
        <v>25942</v>
      </c>
      <c r="F69" s="5">
        <v>25942</v>
      </c>
      <c r="G69" s="5">
        <v>16212</v>
      </c>
      <c r="H69" s="5">
        <v>15912</v>
      </c>
      <c r="I69" s="18">
        <f>SUM(C69-J69)</f>
        <v>-275</v>
      </c>
      <c r="J69" s="5">
        <v>19931</v>
      </c>
      <c r="K69" s="65">
        <f>4809825+2279432</f>
        <v>7089257</v>
      </c>
      <c r="L69" s="74">
        <f>SUM(K69-C69)</f>
        <v>7069601</v>
      </c>
      <c r="M69" s="65">
        <v>5290807</v>
      </c>
      <c r="N69" s="65">
        <v>5819887</v>
      </c>
    </row>
    <row r="70" spans="1:14" s="46" customFormat="1" ht="39.75" customHeight="1" hidden="1">
      <c r="A70" s="2" t="s">
        <v>159</v>
      </c>
      <c r="B70" s="1" t="s">
        <v>271</v>
      </c>
      <c r="C70" s="4">
        <f>19931-275</f>
        <v>19656</v>
      </c>
      <c r="D70" s="18">
        <f t="shared" si="1"/>
        <v>-6286</v>
      </c>
      <c r="E70" s="5">
        <v>25942</v>
      </c>
      <c r="F70" s="5">
        <v>25942</v>
      </c>
      <c r="G70" s="5">
        <v>16212</v>
      </c>
      <c r="H70" s="5">
        <v>15912</v>
      </c>
      <c r="I70" s="18">
        <f>SUM(C70-J70)</f>
        <v>-275</v>
      </c>
      <c r="J70" s="5">
        <v>19931</v>
      </c>
      <c r="K70" s="80"/>
      <c r="L70" s="74"/>
      <c r="M70" s="65"/>
      <c r="N70" s="65"/>
    </row>
    <row r="71" spans="1:14" s="46" customFormat="1" ht="38.25" customHeight="1">
      <c r="A71" s="2" t="s">
        <v>229</v>
      </c>
      <c r="B71" s="1" t="s">
        <v>230</v>
      </c>
      <c r="C71" s="4"/>
      <c r="D71" s="18"/>
      <c r="E71" s="5"/>
      <c r="F71" s="5"/>
      <c r="G71" s="5"/>
      <c r="H71" s="5"/>
      <c r="I71" s="18"/>
      <c r="J71" s="5"/>
      <c r="K71" s="65">
        <f>2210033+1300000</f>
        <v>3510033</v>
      </c>
      <c r="L71" s="74"/>
      <c r="M71" s="65">
        <v>2431037</v>
      </c>
      <c r="N71" s="65">
        <f>1674140+1000000</f>
        <v>2674140</v>
      </c>
    </row>
    <row r="72" spans="1:14" s="46" customFormat="1" ht="66.75" customHeight="1" hidden="1">
      <c r="A72" s="2" t="s">
        <v>150</v>
      </c>
      <c r="B72" s="1" t="s">
        <v>162</v>
      </c>
      <c r="C72" s="4">
        <v>14066.6</v>
      </c>
      <c r="D72" s="18">
        <f t="shared" si="1"/>
        <v>-15933.4</v>
      </c>
      <c r="E72" s="5">
        <v>30000</v>
      </c>
      <c r="F72" s="5">
        <v>30000</v>
      </c>
      <c r="G72" s="5">
        <v>30000</v>
      </c>
      <c r="H72" s="5">
        <v>30000</v>
      </c>
      <c r="I72" s="18">
        <f>SUM(C72-J72)</f>
        <v>-236.39999999999964</v>
      </c>
      <c r="J72" s="5">
        <f>14303</f>
        <v>14303</v>
      </c>
      <c r="K72" s="65">
        <v>0</v>
      </c>
      <c r="L72" s="74">
        <f t="shared" si="2"/>
        <v>-14066.6</v>
      </c>
      <c r="M72" s="65">
        <v>0</v>
      </c>
      <c r="N72" s="65">
        <v>0</v>
      </c>
    </row>
    <row r="73" spans="1:14" s="45" customFormat="1" ht="34.5" customHeight="1">
      <c r="A73" s="25" t="s">
        <v>76</v>
      </c>
      <c r="B73" s="10" t="s">
        <v>94</v>
      </c>
      <c r="C73" s="3">
        <f aca="true" t="shared" si="15" ref="C73:J73">SUM(C75:C86)</f>
        <v>2981</v>
      </c>
      <c r="D73" s="3">
        <f t="shared" si="15"/>
        <v>0</v>
      </c>
      <c r="E73" s="3">
        <f t="shared" si="15"/>
        <v>2901</v>
      </c>
      <c r="F73" s="3">
        <f t="shared" si="15"/>
        <v>2901</v>
      </c>
      <c r="G73" s="3">
        <f t="shared" si="15"/>
        <v>2901</v>
      </c>
      <c r="H73" s="3">
        <f t="shared" si="15"/>
        <v>2901</v>
      </c>
      <c r="I73" s="3">
        <f t="shared" si="15"/>
        <v>40</v>
      </c>
      <c r="J73" s="3">
        <f t="shared" si="15"/>
        <v>2941</v>
      </c>
      <c r="K73" s="64">
        <f>SUM(K74:K84)</f>
        <v>6662410.23</v>
      </c>
      <c r="L73" s="74">
        <f t="shared" si="2"/>
        <v>6659429.23</v>
      </c>
      <c r="M73" s="64">
        <f>SUM(M74:M84)</f>
        <v>4542000</v>
      </c>
      <c r="N73" s="64">
        <f>SUM(N74:N84)</f>
        <v>3542000</v>
      </c>
    </row>
    <row r="74" spans="1:14" s="46" customFormat="1" ht="68.25" customHeight="1">
      <c r="A74" s="2" t="s">
        <v>208</v>
      </c>
      <c r="B74" s="1" t="s">
        <v>247</v>
      </c>
      <c r="C74" s="4"/>
      <c r="D74" s="18">
        <f t="shared" si="1"/>
        <v>0</v>
      </c>
      <c r="E74" s="5"/>
      <c r="F74" s="5"/>
      <c r="G74" s="5"/>
      <c r="H74" s="5"/>
      <c r="I74" s="18">
        <f>SUM(C74-J74)</f>
        <v>0</v>
      </c>
      <c r="J74" s="5"/>
      <c r="K74" s="76">
        <v>84000</v>
      </c>
      <c r="L74" s="74">
        <f t="shared" si="2"/>
        <v>84000</v>
      </c>
      <c r="M74" s="76">
        <v>85000</v>
      </c>
      <c r="N74" s="76">
        <v>86000</v>
      </c>
    </row>
    <row r="75" spans="1:14" s="48" customFormat="1" ht="66" customHeight="1" hidden="1">
      <c r="A75" s="2" t="s">
        <v>208</v>
      </c>
      <c r="B75" s="1" t="s">
        <v>6</v>
      </c>
      <c r="C75" s="4">
        <v>20</v>
      </c>
      <c r="D75" s="18"/>
      <c r="E75" s="5"/>
      <c r="F75" s="5"/>
      <c r="G75" s="5"/>
      <c r="H75" s="5"/>
      <c r="I75" s="18">
        <f>SUM(C75-J75)</f>
        <v>0</v>
      </c>
      <c r="J75" s="5">
        <v>20</v>
      </c>
      <c r="K75" s="84"/>
      <c r="L75" s="74">
        <f>SUM(K75-C75)</f>
        <v>-20</v>
      </c>
      <c r="M75" s="84"/>
      <c r="N75" s="84"/>
    </row>
    <row r="76" spans="1:14" s="48" customFormat="1" ht="66" customHeight="1" hidden="1">
      <c r="A76" s="2" t="s">
        <v>209</v>
      </c>
      <c r="B76" s="1" t="s">
        <v>210</v>
      </c>
      <c r="C76" s="4">
        <v>60</v>
      </c>
      <c r="D76" s="18"/>
      <c r="E76" s="5"/>
      <c r="F76" s="5"/>
      <c r="G76" s="5"/>
      <c r="H76" s="5"/>
      <c r="I76" s="18">
        <f>SUM(C76-J76)</f>
        <v>40</v>
      </c>
      <c r="J76" s="5">
        <v>20</v>
      </c>
      <c r="K76" s="65"/>
      <c r="L76" s="74">
        <f>SUM(K76-C76)</f>
        <v>-60</v>
      </c>
      <c r="M76" s="65"/>
      <c r="N76" s="65"/>
    </row>
    <row r="77" spans="1:14" s="48" customFormat="1" ht="66" customHeight="1">
      <c r="A77" s="2" t="s">
        <v>14</v>
      </c>
      <c r="B77" s="1" t="s">
        <v>15</v>
      </c>
      <c r="C77" s="4"/>
      <c r="D77" s="18"/>
      <c r="E77" s="5"/>
      <c r="F77" s="5"/>
      <c r="G77" s="5"/>
      <c r="H77" s="5"/>
      <c r="I77" s="18"/>
      <c r="J77" s="5"/>
      <c r="K77" s="65">
        <v>200000</v>
      </c>
      <c r="L77" s="74"/>
      <c r="M77" s="65">
        <v>200000</v>
      </c>
      <c r="N77" s="65">
        <v>200000</v>
      </c>
    </row>
    <row r="78" spans="1:14" s="48" customFormat="1" ht="30.75" customHeight="1" hidden="1">
      <c r="A78" s="28" t="s">
        <v>18</v>
      </c>
      <c r="B78" s="6" t="s">
        <v>19</v>
      </c>
      <c r="C78" s="5"/>
      <c r="D78" s="18"/>
      <c r="E78" s="5"/>
      <c r="F78" s="5"/>
      <c r="G78" s="5"/>
      <c r="H78" s="5"/>
      <c r="I78" s="18"/>
      <c r="J78" s="5"/>
      <c r="K78" s="68"/>
      <c r="L78" s="83"/>
      <c r="M78" s="68"/>
      <c r="N78" s="68"/>
    </row>
    <row r="79" spans="1:14" s="48" customFormat="1" ht="32.25" customHeight="1">
      <c r="A79" s="28" t="s">
        <v>273</v>
      </c>
      <c r="B79" s="6" t="s">
        <v>272</v>
      </c>
      <c r="C79" s="5"/>
      <c r="D79" s="18"/>
      <c r="E79" s="5"/>
      <c r="F79" s="5"/>
      <c r="G79" s="5"/>
      <c r="H79" s="5"/>
      <c r="I79" s="18"/>
      <c r="J79" s="5"/>
      <c r="K79" s="68">
        <v>4003410.23</v>
      </c>
      <c r="L79" s="83"/>
      <c r="M79" s="68">
        <v>2138000</v>
      </c>
      <c r="N79" s="68">
        <v>1137000</v>
      </c>
    </row>
    <row r="80" spans="1:14" s="48" customFormat="1" ht="56.25" customHeight="1">
      <c r="A80" s="2" t="s">
        <v>20</v>
      </c>
      <c r="B80" s="1" t="s">
        <v>21</v>
      </c>
      <c r="C80" s="4"/>
      <c r="D80" s="18"/>
      <c r="E80" s="5"/>
      <c r="F80" s="5"/>
      <c r="G80" s="5"/>
      <c r="H80" s="5"/>
      <c r="I80" s="18"/>
      <c r="J80" s="5"/>
      <c r="K80" s="65">
        <v>50000</v>
      </c>
      <c r="L80" s="74"/>
      <c r="M80" s="65">
        <v>5000</v>
      </c>
      <c r="N80" s="65">
        <v>5000</v>
      </c>
    </row>
    <row r="81" spans="1:14" s="48" customFormat="1" ht="32.25" customHeight="1">
      <c r="A81" s="2" t="s">
        <v>278</v>
      </c>
      <c r="B81" s="1" t="s">
        <v>283</v>
      </c>
      <c r="C81" s="4"/>
      <c r="D81" s="18"/>
      <c r="E81" s="5"/>
      <c r="F81" s="5"/>
      <c r="G81" s="5"/>
      <c r="H81" s="5"/>
      <c r="I81" s="18"/>
      <c r="J81" s="5"/>
      <c r="K81" s="65">
        <v>50000</v>
      </c>
      <c r="L81" s="74"/>
      <c r="M81" s="65">
        <v>50000</v>
      </c>
      <c r="N81" s="65">
        <v>50000</v>
      </c>
    </row>
    <row r="82" spans="1:14" s="48" customFormat="1" ht="62.25" customHeight="1">
      <c r="A82" s="2" t="s">
        <v>336</v>
      </c>
      <c r="B82" s="1" t="s">
        <v>337</v>
      </c>
      <c r="C82" s="4"/>
      <c r="D82" s="18"/>
      <c r="E82" s="5"/>
      <c r="F82" s="5"/>
      <c r="G82" s="5"/>
      <c r="H82" s="5"/>
      <c r="I82" s="18"/>
      <c r="J82" s="5"/>
      <c r="K82" s="65">
        <v>53000</v>
      </c>
      <c r="L82" s="74"/>
      <c r="M82" s="65">
        <v>0</v>
      </c>
      <c r="N82" s="65">
        <v>0</v>
      </c>
    </row>
    <row r="83" spans="1:14" s="48" customFormat="1" ht="54.75" customHeight="1">
      <c r="A83" s="2" t="s">
        <v>281</v>
      </c>
      <c r="B83" s="1" t="s">
        <v>282</v>
      </c>
      <c r="C83" s="4"/>
      <c r="D83" s="18"/>
      <c r="E83" s="5"/>
      <c r="F83" s="5"/>
      <c r="G83" s="5"/>
      <c r="H83" s="5"/>
      <c r="I83" s="18"/>
      <c r="J83" s="5"/>
      <c r="K83" s="65">
        <v>900000</v>
      </c>
      <c r="L83" s="74"/>
      <c r="M83" s="65">
        <v>900000</v>
      </c>
      <c r="N83" s="65">
        <v>900000</v>
      </c>
    </row>
    <row r="84" spans="1:14" s="46" customFormat="1" ht="36" customHeight="1">
      <c r="A84" s="2" t="s">
        <v>95</v>
      </c>
      <c r="B84" s="1" t="s">
        <v>144</v>
      </c>
      <c r="C84" s="4">
        <v>2901</v>
      </c>
      <c r="D84" s="18">
        <f>SUM(C84-E84)</f>
        <v>0</v>
      </c>
      <c r="E84" s="5">
        <v>2901</v>
      </c>
      <c r="F84" s="5">
        <v>2901</v>
      </c>
      <c r="G84" s="5">
        <v>2901</v>
      </c>
      <c r="H84" s="5">
        <v>2901</v>
      </c>
      <c r="I84" s="18">
        <f>SUM(C84-J84)</f>
        <v>0</v>
      </c>
      <c r="J84" s="5">
        <v>2901</v>
      </c>
      <c r="K84" s="76">
        <v>1322000</v>
      </c>
      <c r="L84" s="74">
        <f aca="true" t="shared" si="16" ref="L84:L93">SUM(K84-C84)</f>
        <v>1319099</v>
      </c>
      <c r="M84" s="76">
        <v>1164000</v>
      </c>
      <c r="N84" s="76">
        <v>1164000</v>
      </c>
    </row>
    <row r="85" spans="1:14" s="45" customFormat="1" ht="27.75" customHeight="1">
      <c r="A85" s="25" t="s">
        <v>77</v>
      </c>
      <c r="B85" s="10" t="s">
        <v>78</v>
      </c>
      <c r="C85" s="3">
        <f>SUM(C86)</f>
        <v>0</v>
      </c>
      <c r="D85" s="18">
        <f>SUM(C85-E85)</f>
        <v>0</v>
      </c>
      <c r="E85" s="14">
        <f>SUM(E86)</f>
        <v>0</v>
      </c>
      <c r="F85" s="14">
        <f>SUM(F86)</f>
        <v>0</v>
      </c>
      <c r="G85" s="14">
        <f>SUM(G86)</f>
        <v>0</v>
      </c>
      <c r="H85" s="14">
        <f>SUM(H86)</f>
        <v>0</v>
      </c>
      <c r="I85" s="18">
        <f>SUM(C85-J85)</f>
        <v>0</v>
      </c>
      <c r="J85" s="14">
        <f>SUM(J86)</f>
        <v>0</v>
      </c>
      <c r="K85" s="77">
        <f>SUM(K86:K86)</f>
        <v>2036000</v>
      </c>
      <c r="L85" s="74">
        <f t="shared" si="16"/>
        <v>2036000</v>
      </c>
      <c r="M85" s="77">
        <f>SUM(M86:M86)</f>
        <v>2023000</v>
      </c>
      <c r="N85" s="77">
        <f>SUM(N86:N86)</f>
        <v>2023000</v>
      </c>
    </row>
    <row r="86" spans="1:14" s="48" customFormat="1" ht="29.25" customHeight="1">
      <c r="A86" s="2" t="s">
        <v>104</v>
      </c>
      <c r="B86" s="1" t="s">
        <v>105</v>
      </c>
      <c r="C86" s="4">
        <v>0</v>
      </c>
      <c r="D86" s="18">
        <f>SUM(C86-E86)</f>
        <v>0</v>
      </c>
      <c r="E86" s="5">
        <v>0</v>
      </c>
      <c r="F86" s="5">
        <v>0</v>
      </c>
      <c r="G86" s="5">
        <v>0</v>
      </c>
      <c r="H86" s="5">
        <v>0</v>
      </c>
      <c r="I86" s="18">
        <f>SUM(C86-J86)</f>
        <v>0</v>
      </c>
      <c r="J86" s="5">
        <v>0</v>
      </c>
      <c r="K86" s="76">
        <f>SUM(K87:K88)</f>
        <v>2036000</v>
      </c>
      <c r="L86" s="76">
        <f>SUM(L87:L88)</f>
        <v>2023000</v>
      </c>
      <c r="M86" s="76">
        <f>SUM(M87:M88)</f>
        <v>2023000</v>
      </c>
      <c r="N86" s="76">
        <f>SUM(N87:N88)</f>
        <v>2023000</v>
      </c>
    </row>
    <row r="87" spans="1:14" s="48" customFormat="1" ht="29.25" customHeight="1" hidden="1">
      <c r="A87" s="2" t="s">
        <v>341</v>
      </c>
      <c r="B87" s="1" t="s">
        <v>343</v>
      </c>
      <c r="C87" s="4"/>
      <c r="D87" s="18"/>
      <c r="E87" s="5"/>
      <c r="F87" s="5"/>
      <c r="G87" s="5"/>
      <c r="H87" s="5"/>
      <c r="I87" s="18"/>
      <c r="J87" s="5"/>
      <c r="K87" s="76">
        <f>10000+2013000</f>
        <v>2023000</v>
      </c>
      <c r="L87" s="74">
        <f>SUM(K87-C87)</f>
        <v>2023000</v>
      </c>
      <c r="M87" s="76">
        <f>10000+2013000</f>
        <v>2023000</v>
      </c>
      <c r="N87" s="76">
        <f>10000+2013000</f>
        <v>2023000</v>
      </c>
    </row>
    <row r="88" spans="1:14" s="48" customFormat="1" ht="29.25" customHeight="1" hidden="1">
      <c r="A88" s="2" t="s">
        <v>342</v>
      </c>
      <c r="B88" s="1" t="s">
        <v>344</v>
      </c>
      <c r="C88" s="4"/>
      <c r="D88" s="18"/>
      <c r="E88" s="5"/>
      <c r="F88" s="5"/>
      <c r="G88" s="5"/>
      <c r="H88" s="5"/>
      <c r="I88" s="18"/>
      <c r="J88" s="5"/>
      <c r="K88" s="76">
        <v>13000</v>
      </c>
      <c r="L88" s="74"/>
      <c r="M88" s="76">
        <v>0</v>
      </c>
      <c r="N88" s="76">
        <v>0</v>
      </c>
    </row>
    <row r="89" spans="1:14" s="45" customFormat="1" ht="30.75" customHeight="1">
      <c r="A89" s="25" t="s">
        <v>79</v>
      </c>
      <c r="B89" s="10" t="s">
        <v>96</v>
      </c>
      <c r="C89" s="3">
        <f aca="true" t="shared" si="17" ref="C89:J89">SUM(C90+C164+C171)</f>
        <v>467560.965</v>
      </c>
      <c r="D89" s="3">
        <f t="shared" si="17"/>
        <v>68659.09500000002</v>
      </c>
      <c r="E89" s="3">
        <f t="shared" si="17"/>
        <v>401614.57</v>
      </c>
      <c r="F89" s="3">
        <f t="shared" si="17"/>
        <v>390883.06200000003</v>
      </c>
      <c r="G89" s="3">
        <f t="shared" si="17"/>
        <v>335583.6</v>
      </c>
      <c r="H89" s="3">
        <f t="shared" si="17"/>
        <v>289150</v>
      </c>
      <c r="I89" s="3">
        <f t="shared" si="17"/>
        <v>9221.400000000001</v>
      </c>
      <c r="J89" s="3">
        <f t="shared" si="17"/>
        <v>458339.565</v>
      </c>
      <c r="K89" s="64">
        <f>SUM(K90+K164+K171+K169)</f>
        <v>606565579.0799999</v>
      </c>
      <c r="L89" s="74">
        <f t="shared" si="16"/>
        <v>606098018.1149999</v>
      </c>
      <c r="M89" s="64">
        <f>SUM(M90+M164+M171+M169)</f>
        <v>372232499</v>
      </c>
      <c r="N89" s="64">
        <f>SUM(N90+N164+N171+N169)</f>
        <v>369253499</v>
      </c>
    </row>
    <row r="90" spans="1:14" s="45" customFormat="1" ht="51.75" customHeight="1">
      <c r="A90" s="25" t="s">
        <v>97</v>
      </c>
      <c r="B90" s="10" t="s">
        <v>107</v>
      </c>
      <c r="C90" s="3">
        <f aca="true" t="shared" si="18" ref="C90:K90">SUM(C94,C91,C124,C153)</f>
        <v>468515.66500000004</v>
      </c>
      <c r="D90" s="3">
        <f t="shared" si="18"/>
        <v>76273.49500000001</v>
      </c>
      <c r="E90" s="3">
        <f t="shared" si="18"/>
        <v>392242.17</v>
      </c>
      <c r="F90" s="3">
        <f t="shared" si="18"/>
        <v>382212.362</v>
      </c>
      <c r="G90" s="3">
        <f t="shared" si="18"/>
        <v>327748.6</v>
      </c>
      <c r="H90" s="3">
        <f t="shared" si="18"/>
        <v>281631</v>
      </c>
      <c r="I90" s="3">
        <f t="shared" si="18"/>
        <v>11676.1</v>
      </c>
      <c r="J90" s="3">
        <f t="shared" si="18"/>
        <v>456839.565</v>
      </c>
      <c r="K90" s="64">
        <f t="shared" si="18"/>
        <v>606639887.86</v>
      </c>
      <c r="L90" s="74">
        <f t="shared" si="16"/>
        <v>606171372.195</v>
      </c>
      <c r="M90" s="64">
        <f>SUM(M94,M91,M124,M153)</f>
        <v>372232499</v>
      </c>
      <c r="N90" s="64">
        <f>SUM(N94,N91,N124,N153)</f>
        <v>369253499</v>
      </c>
    </row>
    <row r="91" spans="1:14" s="45" customFormat="1" ht="50.25" customHeight="1">
      <c r="A91" s="25" t="s">
        <v>112</v>
      </c>
      <c r="B91" s="10" t="s">
        <v>110</v>
      </c>
      <c r="C91" s="3">
        <f>SUM(C92:C93)</f>
        <v>211384</v>
      </c>
      <c r="D91" s="3">
        <f aca="true" t="shared" si="19" ref="D91:K91">SUM(D92:D93)</f>
        <v>112848</v>
      </c>
      <c r="E91" s="3">
        <f t="shared" si="19"/>
        <v>98536</v>
      </c>
      <c r="F91" s="3">
        <f t="shared" si="19"/>
        <v>98536</v>
      </c>
      <c r="G91" s="3">
        <f t="shared" si="19"/>
        <v>98536</v>
      </c>
      <c r="H91" s="3">
        <f t="shared" si="19"/>
        <v>98536</v>
      </c>
      <c r="I91" s="3">
        <f t="shared" si="19"/>
        <v>0</v>
      </c>
      <c r="J91" s="3">
        <f t="shared" si="19"/>
        <v>211384</v>
      </c>
      <c r="K91" s="64">
        <f t="shared" si="19"/>
        <v>112343000</v>
      </c>
      <c r="L91" s="74">
        <f t="shared" si="16"/>
        <v>112131616</v>
      </c>
      <c r="M91" s="64">
        <f>SUM(M92:M93)</f>
        <v>106983000</v>
      </c>
      <c r="N91" s="64">
        <f>SUM(N92:N93)</f>
        <v>99158000</v>
      </c>
    </row>
    <row r="92" spans="1:14" s="48" customFormat="1" ht="42" customHeight="1">
      <c r="A92" s="2" t="s">
        <v>113</v>
      </c>
      <c r="B92" s="1" t="s">
        <v>98</v>
      </c>
      <c r="C92" s="4">
        <v>211384</v>
      </c>
      <c r="D92" s="18">
        <f>SUM(C92-E92)</f>
        <v>112848</v>
      </c>
      <c r="E92" s="5">
        <v>98536</v>
      </c>
      <c r="F92" s="5">
        <v>98536</v>
      </c>
      <c r="G92" s="5">
        <v>98536</v>
      </c>
      <c r="H92" s="5">
        <v>98536</v>
      </c>
      <c r="I92" s="18">
        <f>SUM(C92-J92)</f>
        <v>0</v>
      </c>
      <c r="J92" s="5">
        <v>211384</v>
      </c>
      <c r="K92" s="65">
        <f>112387000-44000</f>
        <v>112343000</v>
      </c>
      <c r="L92" s="65">
        <v>83020000</v>
      </c>
      <c r="M92" s="65">
        <f>107027000-44000</f>
        <v>106983000</v>
      </c>
      <c r="N92" s="65">
        <f>99202000-44000</f>
        <v>99158000</v>
      </c>
    </row>
    <row r="93" spans="1:14" s="48" customFormat="1" ht="75" hidden="1">
      <c r="A93" s="2" t="s">
        <v>168</v>
      </c>
      <c r="B93" s="1" t="s">
        <v>181</v>
      </c>
      <c r="C93" s="4"/>
      <c r="D93" s="18">
        <f>SUM(C93-E93)</f>
        <v>0</v>
      </c>
      <c r="E93" s="5"/>
      <c r="F93" s="5"/>
      <c r="G93" s="5"/>
      <c r="H93" s="5"/>
      <c r="I93" s="18">
        <f>SUM(C93-J93)</f>
        <v>0</v>
      </c>
      <c r="J93" s="5"/>
      <c r="K93" s="85"/>
      <c r="L93" s="74">
        <f t="shared" si="16"/>
        <v>0</v>
      </c>
      <c r="M93" s="86"/>
      <c r="N93" s="86"/>
    </row>
    <row r="94" spans="1:14" s="45" customFormat="1" ht="51" customHeight="1">
      <c r="A94" s="25" t="s">
        <v>114</v>
      </c>
      <c r="B94" s="10" t="s">
        <v>203</v>
      </c>
      <c r="C94" s="3">
        <f aca="true" t="shared" si="20" ref="C94:J94">SUM(C95:C104)</f>
        <v>13641</v>
      </c>
      <c r="D94" s="3">
        <f t="shared" si="20"/>
        <v>-82309.26999999999</v>
      </c>
      <c r="E94" s="3">
        <f t="shared" si="20"/>
        <v>95950.26999999999</v>
      </c>
      <c r="F94" s="3">
        <f t="shared" si="20"/>
        <v>92109.56199999999</v>
      </c>
      <c r="G94" s="3">
        <f t="shared" si="20"/>
        <v>37652</v>
      </c>
      <c r="H94" s="3">
        <f t="shared" si="20"/>
        <v>6282</v>
      </c>
      <c r="I94" s="3">
        <f t="shared" si="20"/>
        <v>11387</v>
      </c>
      <c r="J94" s="3">
        <f t="shared" si="20"/>
        <v>2254</v>
      </c>
      <c r="K94" s="64">
        <f>SUM(K95,K99,K100,K101,K102,K103,K104)</f>
        <v>201014688.86</v>
      </c>
      <c r="L94" s="64">
        <f>SUM(L95,L99,L100,L103,L104)</f>
        <v>61155565</v>
      </c>
      <c r="M94" s="64">
        <f>SUM(M95,M99,M100,M103,M104)</f>
        <v>3126000</v>
      </c>
      <c r="N94" s="64">
        <f>SUM(N95,N99,N100,N103,N104)</f>
        <v>3138000</v>
      </c>
    </row>
    <row r="95" spans="1:14" s="61" customFormat="1" ht="30">
      <c r="A95" s="29" t="s">
        <v>239</v>
      </c>
      <c r="B95" s="16" t="s">
        <v>279</v>
      </c>
      <c r="C95" s="17"/>
      <c r="D95" s="18"/>
      <c r="E95" s="18"/>
      <c r="F95" s="18"/>
      <c r="G95" s="18"/>
      <c r="H95" s="18"/>
      <c r="I95" s="18"/>
      <c r="J95" s="18"/>
      <c r="K95" s="87">
        <f>SUM(K96:K98)</f>
        <v>86630000</v>
      </c>
      <c r="L95" s="87">
        <f>SUM(L96:L98)</f>
        <v>0</v>
      </c>
      <c r="M95" s="87">
        <f>SUM(M96:M98)</f>
        <v>0</v>
      </c>
      <c r="N95" s="87">
        <f>SUM(N96:N98)</f>
        <v>0</v>
      </c>
    </row>
    <row r="96" spans="1:14" s="48" customFormat="1" ht="33" customHeight="1" hidden="1">
      <c r="A96" s="28" t="s">
        <v>260</v>
      </c>
      <c r="B96" s="6" t="s">
        <v>238</v>
      </c>
      <c r="C96" s="5"/>
      <c r="D96" s="18"/>
      <c r="E96" s="5"/>
      <c r="F96" s="5"/>
      <c r="G96" s="5"/>
      <c r="H96" s="5"/>
      <c r="I96" s="18"/>
      <c r="J96" s="5"/>
      <c r="K96" s="82">
        <v>0</v>
      </c>
      <c r="L96" s="83"/>
      <c r="M96" s="88">
        <v>0</v>
      </c>
      <c r="N96" s="88">
        <v>0</v>
      </c>
    </row>
    <row r="97" spans="1:14" s="48" customFormat="1" ht="33" customHeight="1" hidden="1">
      <c r="A97" s="28" t="s">
        <v>261</v>
      </c>
      <c r="B97" s="6" t="s">
        <v>298</v>
      </c>
      <c r="C97" s="5"/>
      <c r="D97" s="18"/>
      <c r="E97" s="5"/>
      <c r="F97" s="5"/>
      <c r="G97" s="5"/>
      <c r="H97" s="5"/>
      <c r="I97" s="18"/>
      <c r="J97" s="5"/>
      <c r="K97" s="82"/>
      <c r="L97" s="83"/>
      <c r="M97" s="88"/>
      <c r="N97" s="88"/>
    </row>
    <row r="98" spans="1:14" s="48" customFormat="1" ht="42" customHeight="1">
      <c r="A98" s="28" t="s">
        <v>262</v>
      </c>
      <c r="B98" s="6" t="s">
        <v>263</v>
      </c>
      <c r="C98" s="5"/>
      <c r="D98" s="18"/>
      <c r="E98" s="5"/>
      <c r="F98" s="5"/>
      <c r="G98" s="5"/>
      <c r="H98" s="5"/>
      <c r="I98" s="18"/>
      <c r="J98" s="5"/>
      <c r="K98" s="82">
        <v>86630000</v>
      </c>
      <c r="L98" s="83"/>
      <c r="M98" s="82">
        <v>0</v>
      </c>
      <c r="N98" s="82">
        <v>0</v>
      </c>
    </row>
    <row r="99" spans="1:14" s="48" customFormat="1" ht="82.5" customHeight="1">
      <c r="A99" s="2" t="s">
        <v>240</v>
      </c>
      <c r="B99" s="1" t="s">
        <v>275</v>
      </c>
      <c r="C99" s="4">
        <v>0</v>
      </c>
      <c r="D99" s="18">
        <f>SUM(C99-E99)</f>
        <v>-1711.1</v>
      </c>
      <c r="E99" s="5">
        <v>1711.1</v>
      </c>
      <c r="F99" s="5">
        <v>750.923</v>
      </c>
      <c r="G99" s="5"/>
      <c r="H99" s="5"/>
      <c r="I99" s="18">
        <f>SUM(C99-J99)</f>
        <v>0</v>
      </c>
      <c r="J99" s="5"/>
      <c r="K99" s="76">
        <f>3705000+11495000</f>
        <v>15200000</v>
      </c>
      <c r="L99" s="74">
        <f>SUM(K99-C99)</f>
        <v>15200000</v>
      </c>
      <c r="M99" s="76">
        <v>0</v>
      </c>
      <c r="N99" s="76">
        <v>0</v>
      </c>
    </row>
    <row r="100" spans="1:14" s="48" customFormat="1" ht="44.25" customHeight="1">
      <c r="A100" s="2" t="s">
        <v>309</v>
      </c>
      <c r="B100" s="1" t="s">
        <v>310</v>
      </c>
      <c r="C100" s="4">
        <v>0</v>
      </c>
      <c r="D100" s="18">
        <f>SUM(C100-E100)</f>
        <v>-1711.1</v>
      </c>
      <c r="E100" s="5">
        <v>1711.1</v>
      </c>
      <c r="F100" s="5">
        <v>750.923</v>
      </c>
      <c r="G100" s="5"/>
      <c r="H100" s="5"/>
      <c r="I100" s="18">
        <f>SUM(C100-J100)</f>
        <v>0</v>
      </c>
      <c r="J100" s="5"/>
      <c r="K100" s="76">
        <v>2292300</v>
      </c>
      <c r="L100" s="74">
        <f>SUM(K100-C100)</f>
        <v>2292300</v>
      </c>
      <c r="M100" s="76">
        <v>0</v>
      </c>
      <c r="N100" s="76">
        <v>0</v>
      </c>
    </row>
    <row r="101" spans="1:14" s="48" customFormat="1" ht="44.25" customHeight="1">
      <c r="A101" s="2" t="s">
        <v>318</v>
      </c>
      <c r="B101" s="1" t="s">
        <v>319</v>
      </c>
      <c r="C101" s="4"/>
      <c r="D101" s="18"/>
      <c r="E101" s="5"/>
      <c r="F101" s="5"/>
      <c r="G101" s="5"/>
      <c r="H101" s="5"/>
      <c r="I101" s="18"/>
      <c r="J101" s="5"/>
      <c r="K101" s="76">
        <v>304842.86</v>
      </c>
      <c r="L101" s="74"/>
      <c r="M101" s="76">
        <v>0</v>
      </c>
      <c r="N101" s="76">
        <v>0</v>
      </c>
    </row>
    <row r="102" spans="1:14" s="48" customFormat="1" ht="44.25" customHeight="1">
      <c r="A102" s="2" t="s">
        <v>311</v>
      </c>
      <c r="B102" s="1" t="s">
        <v>312</v>
      </c>
      <c r="C102" s="4">
        <v>0</v>
      </c>
      <c r="D102" s="18">
        <f>SUM(C102-E102)</f>
        <v>-1711.1</v>
      </c>
      <c r="E102" s="5">
        <v>1711.1</v>
      </c>
      <c r="F102" s="5">
        <v>750.923</v>
      </c>
      <c r="G102" s="5"/>
      <c r="H102" s="5"/>
      <c r="I102" s="18">
        <f>SUM(C102-J102)</f>
        <v>0</v>
      </c>
      <c r="J102" s="5"/>
      <c r="K102" s="76">
        <v>52910640</v>
      </c>
      <c r="L102" s="74">
        <f>SUM(K102-C102)</f>
        <v>52910640</v>
      </c>
      <c r="M102" s="76">
        <v>0</v>
      </c>
      <c r="N102" s="76">
        <v>0</v>
      </c>
    </row>
    <row r="103" spans="1:14" s="48" customFormat="1" ht="44.25" customHeight="1">
      <c r="A103" s="2" t="s">
        <v>316</v>
      </c>
      <c r="B103" s="1" t="s">
        <v>317</v>
      </c>
      <c r="C103" s="4">
        <v>0</v>
      </c>
      <c r="D103" s="18">
        <f>SUM(C103-E103)</f>
        <v>-1711.1</v>
      </c>
      <c r="E103" s="5">
        <v>1711.1</v>
      </c>
      <c r="F103" s="5">
        <v>750.923</v>
      </c>
      <c r="G103" s="5"/>
      <c r="H103" s="5"/>
      <c r="I103" s="18">
        <f>SUM(C103-J103)</f>
        <v>0</v>
      </c>
      <c r="J103" s="5"/>
      <c r="K103" s="76">
        <v>21628436</v>
      </c>
      <c r="L103" s="74">
        <f aca="true" t="shared" si="21" ref="L103:L174">SUM(K103-C103)</f>
        <v>21628436</v>
      </c>
      <c r="M103" s="76">
        <v>0</v>
      </c>
      <c r="N103" s="76">
        <v>0</v>
      </c>
    </row>
    <row r="104" spans="1:14" s="48" customFormat="1" ht="30.75" customHeight="1">
      <c r="A104" s="29" t="s">
        <v>115</v>
      </c>
      <c r="B104" s="16" t="s">
        <v>108</v>
      </c>
      <c r="C104" s="17">
        <f aca="true" t="shared" si="22" ref="C104:J104">SUM(C105:C116)</f>
        <v>13641</v>
      </c>
      <c r="D104" s="17">
        <f t="shared" si="22"/>
        <v>-75464.87</v>
      </c>
      <c r="E104" s="17">
        <f t="shared" si="22"/>
        <v>89105.87</v>
      </c>
      <c r="F104" s="17">
        <f t="shared" si="22"/>
        <v>89105.87</v>
      </c>
      <c r="G104" s="17">
        <f t="shared" si="22"/>
        <v>37652</v>
      </c>
      <c r="H104" s="17">
        <f t="shared" si="22"/>
        <v>6282</v>
      </c>
      <c r="I104" s="17">
        <f t="shared" si="22"/>
        <v>11387</v>
      </c>
      <c r="J104" s="17">
        <f t="shared" si="22"/>
        <v>2254</v>
      </c>
      <c r="K104" s="66">
        <f>SUM(K105:K123)</f>
        <v>22048470</v>
      </c>
      <c r="L104" s="74">
        <f t="shared" si="21"/>
        <v>22034829</v>
      </c>
      <c r="M104" s="66">
        <f>SUM(M105:M123)</f>
        <v>3126000</v>
      </c>
      <c r="N104" s="66">
        <f>SUM(N105:N123)</f>
        <v>3138000</v>
      </c>
    </row>
    <row r="105" spans="1:14" s="49" customFormat="1" ht="44.25" customHeight="1">
      <c r="A105" s="28" t="s">
        <v>252</v>
      </c>
      <c r="B105" s="6" t="s">
        <v>299</v>
      </c>
      <c r="C105" s="4">
        <v>2000</v>
      </c>
      <c r="D105" s="18">
        <f>SUM(C105-E105)</f>
        <v>0</v>
      </c>
      <c r="E105" s="5">
        <v>2000</v>
      </c>
      <c r="F105" s="5">
        <v>2000</v>
      </c>
      <c r="G105" s="5">
        <v>2000</v>
      </c>
      <c r="H105" s="5">
        <v>2000</v>
      </c>
      <c r="I105" s="18">
        <f>SUM(C105-J105)</f>
        <v>0</v>
      </c>
      <c r="J105" s="5">
        <v>2000</v>
      </c>
      <c r="K105" s="68">
        <v>1594000</v>
      </c>
      <c r="L105" s="74">
        <f t="shared" si="21"/>
        <v>1592000</v>
      </c>
      <c r="M105" s="68">
        <v>0</v>
      </c>
      <c r="N105" s="68">
        <v>0</v>
      </c>
    </row>
    <row r="106" spans="1:14" s="49" customFormat="1" ht="77.25" customHeight="1" hidden="1">
      <c r="A106" s="28" t="s">
        <v>253</v>
      </c>
      <c r="B106" s="6" t="s">
        <v>246</v>
      </c>
      <c r="C106" s="5"/>
      <c r="D106" s="18">
        <f>SUM(C106-E106)</f>
        <v>-486</v>
      </c>
      <c r="E106" s="5">
        <v>486</v>
      </c>
      <c r="F106" s="5">
        <v>486</v>
      </c>
      <c r="G106" s="5">
        <v>486</v>
      </c>
      <c r="H106" s="5">
        <v>486</v>
      </c>
      <c r="I106" s="18">
        <f>SUM(C106-J106)</f>
        <v>0</v>
      </c>
      <c r="J106" s="5"/>
      <c r="K106" s="68"/>
      <c r="L106" s="74">
        <f t="shared" si="21"/>
        <v>0</v>
      </c>
      <c r="M106" s="68">
        <v>0</v>
      </c>
      <c r="N106" s="68">
        <v>0</v>
      </c>
    </row>
    <row r="107" spans="1:14" s="49" customFormat="1" ht="64.5" customHeight="1">
      <c r="A107" s="28" t="s">
        <v>116</v>
      </c>
      <c r="B107" s="6" t="s">
        <v>201</v>
      </c>
      <c r="C107" s="5">
        <v>254</v>
      </c>
      <c r="D107" s="18">
        <f>SUM(C107-E107)</f>
        <v>36</v>
      </c>
      <c r="E107" s="5">
        <v>218</v>
      </c>
      <c r="F107" s="5">
        <v>218</v>
      </c>
      <c r="G107" s="5">
        <v>218</v>
      </c>
      <c r="H107" s="5">
        <v>218</v>
      </c>
      <c r="I107" s="18">
        <f>SUM(C107-J107)</f>
        <v>0</v>
      </c>
      <c r="J107" s="5">
        <v>254</v>
      </c>
      <c r="K107" s="68">
        <v>278000</v>
      </c>
      <c r="L107" s="74">
        <f t="shared" si="21"/>
        <v>277746</v>
      </c>
      <c r="M107" s="68">
        <v>289000</v>
      </c>
      <c r="N107" s="68">
        <v>301000</v>
      </c>
    </row>
    <row r="108" spans="1:14" s="49" customFormat="1" ht="42.75" customHeight="1">
      <c r="A108" s="28" t="s">
        <v>286</v>
      </c>
      <c r="B108" s="6" t="s">
        <v>186</v>
      </c>
      <c r="C108" s="5">
        <v>903</v>
      </c>
      <c r="D108" s="18">
        <f>SUM(C108-E108)</f>
        <v>-479</v>
      </c>
      <c r="E108" s="5">
        <v>1382</v>
      </c>
      <c r="F108" s="5">
        <v>1382</v>
      </c>
      <c r="G108" s="5">
        <v>1382</v>
      </c>
      <c r="H108" s="5">
        <v>1382</v>
      </c>
      <c r="I108" s="18">
        <f>SUM(C108-J108)</f>
        <v>903</v>
      </c>
      <c r="J108" s="5"/>
      <c r="K108" s="68">
        <v>793000</v>
      </c>
      <c r="L108" s="74">
        <f t="shared" si="21"/>
        <v>792097</v>
      </c>
      <c r="M108" s="68">
        <v>0</v>
      </c>
      <c r="N108" s="68">
        <v>0</v>
      </c>
    </row>
    <row r="109" spans="1:14" s="49" customFormat="1" ht="60" customHeight="1">
      <c r="A109" s="28" t="s">
        <v>269</v>
      </c>
      <c r="B109" s="6" t="s">
        <v>0</v>
      </c>
      <c r="C109" s="5">
        <v>924</v>
      </c>
      <c r="D109" s="18">
        <f>SUM(C109-E109)</f>
        <v>-246</v>
      </c>
      <c r="E109" s="5">
        <v>1170</v>
      </c>
      <c r="F109" s="5">
        <v>1170</v>
      </c>
      <c r="G109" s="5">
        <v>1170</v>
      </c>
      <c r="H109" s="5">
        <v>1170</v>
      </c>
      <c r="I109" s="18">
        <f>SUM(C109-J109)</f>
        <v>924</v>
      </c>
      <c r="J109" s="5">
        <v>0</v>
      </c>
      <c r="K109" s="68">
        <v>1157000</v>
      </c>
      <c r="L109" s="74">
        <f t="shared" si="21"/>
        <v>1156076</v>
      </c>
      <c r="M109" s="68">
        <v>1157000</v>
      </c>
      <c r="N109" s="68">
        <v>1157000</v>
      </c>
    </row>
    <row r="110" spans="1:14" s="49" customFormat="1" ht="60" customHeight="1">
      <c r="A110" s="28" t="s">
        <v>297</v>
      </c>
      <c r="B110" s="6" t="s">
        <v>300</v>
      </c>
      <c r="C110" s="5"/>
      <c r="D110" s="18"/>
      <c r="E110" s="5"/>
      <c r="F110" s="5"/>
      <c r="G110" s="5"/>
      <c r="H110" s="5"/>
      <c r="I110" s="18"/>
      <c r="J110" s="5"/>
      <c r="K110" s="68">
        <v>1680000</v>
      </c>
      <c r="L110" s="74"/>
      <c r="M110" s="68">
        <v>1680000</v>
      </c>
      <c r="N110" s="68">
        <v>1680000</v>
      </c>
    </row>
    <row r="111" spans="1:14" s="49" customFormat="1" ht="47.25" customHeight="1" hidden="1">
      <c r="A111" s="106" t="s">
        <v>254</v>
      </c>
      <c r="B111" s="107" t="s">
        <v>245</v>
      </c>
      <c r="C111" s="108">
        <v>1626</v>
      </c>
      <c r="D111" s="109">
        <f>SUM(C111-E111)</f>
        <v>-2848</v>
      </c>
      <c r="E111" s="108">
        <v>4474</v>
      </c>
      <c r="F111" s="108">
        <v>4474</v>
      </c>
      <c r="G111" s="108">
        <v>4474</v>
      </c>
      <c r="H111" s="108">
        <v>1026</v>
      </c>
      <c r="I111" s="109">
        <f>SUM(C111-J111)</f>
        <v>1626</v>
      </c>
      <c r="J111" s="108">
        <v>0</v>
      </c>
      <c r="K111" s="110">
        <v>0</v>
      </c>
      <c r="L111" s="111">
        <f t="shared" si="21"/>
        <v>-1626</v>
      </c>
      <c r="M111" s="110">
        <v>0</v>
      </c>
      <c r="N111" s="110">
        <v>0</v>
      </c>
    </row>
    <row r="112" spans="1:14" s="49" customFormat="1" ht="52.5" customHeight="1">
      <c r="A112" s="28" t="s">
        <v>251</v>
      </c>
      <c r="B112" s="6" t="s">
        <v>301</v>
      </c>
      <c r="C112" s="5">
        <v>7934</v>
      </c>
      <c r="D112" s="18">
        <f>SUM(C112-E112)</f>
        <v>1977</v>
      </c>
      <c r="E112" s="5">
        <v>5957</v>
      </c>
      <c r="F112" s="5">
        <v>5957</v>
      </c>
      <c r="G112" s="5">
        <v>5957</v>
      </c>
      <c r="H112" s="5">
        <v>0</v>
      </c>
      <c r="I112" s="18">
        <f>SUM(C112-J112)</f>
        <v>7934</v>
      </c>
      <c r="J112" s="5"/>
      <c r="K112" s="68">
        <v>350000</v>
      </c>
      <c r="L112" s="74">
        <f t="shared" si="21"/>
        <v>342066</v>
      </c>
      <c r="M112" s="68">
        <v>0</v>
      </c>
      <c r="N112" s="68">
        <v>0</v>
      </c>
    </row>
    <row r="113" spans="1:14" s="49" customFormat="1" ht="53.25" customHeight="1">
      <c r="A113" s="28" t="s">
        <v>255</v>
      </c>
      <c r="B113" s="6" t="s">
        <v>302</v>
      </c>
      <c r="C113" s="5"/>
      <c r="D113" s="18">
        <f>SUM(C113-E113)</f>
        <v>-71218.87</v>
      </c>
      <c r="E113" s="5">
        <v>71218.87</v>
      </c>
      <c r="F113" s="5">
        <v>71218.87</v>
      </c>
      <c r="G113" s="5">
        <v>21965</v>
      </c>
      <c r="H113" s="5">
        <v>0</v>
      </c>
      <c r="I113" s="18">
        <f>SUM(C113-J113)</f>
        <v>0</v>
      </c>
      <c r="J113" s="5"/>
      <c r="K113" s="82">
        <v>189000</v>
      </c>
      <c r="L113" s="74">
        <f t="shared" si="21"/>
        <v>189000</v>
      </c>
      <c r="M113" s="82">
        <v>0</v>
      </c>
      <c r="N113" s="82">
        <v>0</v>
      </c>
    </row>
    <row r="114" spans="1:14" s="49" customFormat="1" ht="36.75" customHeight="1">
      <c r="A114" s="28" t="s">
        <v>284</v>
      </c>
      <c r="B114" s="6" t="s">
        <v>303</v>
      </c>
      <c r="C114" s="54"/>
      <c r="D114" s="53"/>
      <c r="E114" s="54"/>
      <c r="F114" s="54"/>
      <c r="G114" s="54"/>
      <c r="H114" s="54"/>
      <c r="I114" s="53"/>
      <c r="J114" s="54"/>
      <c r="K114" s="82">
        <v>3276080</v>
      </c>
      <c r="L114" s="74">
        <f t="shared" si="21"/>
        <v>3276080</v>
      </c>
      <c r="M114" s="82">
        <v>0</v>
      </c>
      <c r="N114" s="82">
        <v>0</v>
      </c>
    </row>
    <row r="115" spans="1:14" s="49" customFormat="1" ht="73.5" customHeight="1">
      <c r="A115" s="28" t="s">
        <v>285</v>
      </c>
      <c r="B115" s="62" t="s">
        <v>304</v>
      </c>
      <c r="C115" s="59"/>
      <c r="D115" s="58">
        <f>SUM(C115-E115)</f>
        <v>-1100</v>
      </c>
      <c r="E115" s="59">
        <v>1100</v>
      </c>
      <c r="F115" s="59">
        <v>1100</v>
      </c>
      <c r="G115" s="59"/>
      <c r="H115" s="59">
        <v>0</v>
      </c>
      <c r="I115" s="58">
        <f>SUM(C115-J115)</f>
        <v>0</v>
      </c>
      <c r="J115" s="59"/>
      <c r="K115" s="82">
        <v>622000</v>
      </c>
      <c r="L115" s="74">
        <f>SUM(K115-C115)</f>
        <v>622000</v>
      </c>
      <c r="M115" s="82">
        <v>0</v>
      </c>
      <c r="N115" s="82">
        <v>0</v>
      </c>
    </row>
    <row r="116" spans="1:14" s="49" customFormat="1" ht="42.75" customHeight="1">
      <c r="A116" s="28" t="s">
        <v>256</v>
      </c>
      <c r="B116" s="6" t="s">
        <v>313</v>
      </c>
      <c r="C116" s="5"/>
      <c r="D116" s="18">
        <f>SUM(C116-E116)</f>
        <v>-1100</v>
      </c>
      <c r="E116" s="5">
        <v>1100</v>
      </c>
      <c r="F116" s="5">
        <v>1100</v>
      </c>
      <c r="G116" s="5"/>
      <c r="H116" s="5">
        <v>0</v>
      </c>
      <c r="I116" s="18">
        <f>SUM(C116-J116)</f>
        <v>0</v>
      </c>
      <c r="J116" s="5"/>
      <c r="K116" s="82">
        <v>6893810</v>
      </c>
      <c r="L116" s="74">
        <f t="shared" si="21"/>
        <v>6893810</v>
      </c>
      <c r="M116" s="82">
        <v>0</v>
      </c>
      <c r="N116" s="82">
        <v>0</v>
      </c>
    </row>
    <row r="117" spans="1:14" s="49" customFormat="1" ht="30.75" customHeight="1" hidden="1">
      <c r="A117" s="28"/>
      <c r="B117" s="6"/>
      <c r="C117" s="5"/>
      <c r="D117" s="18"/>
      <c r="E117" s="5"/>
      <c r="F117" s="5"/>
      <c r="G117" s="5"/>
      <c r="H117" s="5"/>
      <c r="I117" s="18"/>
      <c r="J117" s="5"/>
      <c r="K117" s="82"/>
      <c r="L117" s="74">
        <f t="shared" si="21"/>
        <v>0</v>
      </c>
      <c r="M117" s="82">
        <v>0</v>
      </c>
      <c r="N117" s="82">
        <v>0</v>
      </c>
    </row>
    <row r="118" spans="1:15" s="49" customFormat="1" ht="37.5" customHeight="1">
      <c r="A118" s="28" t="s">
        <v>257</v>
      </c>
      <c r="B118" s="6" t="s">
        <v>320</v>
      </c>
      <c r="C118" s="5"/>
      <c r="D118" s="18"/>
      <c r="E118" s="5"/>
      <c r="F118" s="5"/>
      <c r="G118" s="5"/>
      <c r="H118" s="5"/>
      <c r="I118" s="18"/>
      <c r="J118" s="5"/>
      <c r="K118" s="82">
        <v>348000</v>
      </c>
      <c r="L118" s="74">
        <f t="shared" si="21"/>
        <v>348000</v>
      </c>
      <c r="M118" s="82">
        <v>0</v>
      </c>
      <c r="N118" s="82">
        <v>0</v>
      </c>
      <c r="O118" s="116"/>
    </row>
    <row r="119" spans="1:14" s="49" customFormat="1" ht="43.5" customHeight="1">
      <c r="A119" s="28" t="s">
        <v>268</v>
      </c>
      <c r="B119" s="6" t="s">
        <v>321</v>
      </c>
      <c r="C119" s="54"/>
      <c r="D119" s="53"/>
      <c r="E119" s="54"/>
      <c r="F119" s="54"/>
      <c r="G119" s="54"/>
      <c r="H119" s="54"/>
      <c r="I119" s="53"/>
      <c r="J119" s="54"/>
      <c r="K119" s="82">
        <v>290000</v>
      </c>
      <c r="L119" s="74">
        <f t="shared" si="21"/>
        <v>290000</v>
      </c>
      <c r="M119" s="82">
        <v>0</v>
      </c>
      <c r="N119" s="82">
        <v>0</v>
      </c>
    </row>
    <row r="120" spans="1:14" s="49" customFormat="1" ht="30.75" customHeight="1">
      <c r="A120" s="28" t="s">
        <v>249</v>
      </c>
      <c r="B120" s="6" t="s">
        <v>333</v>
      </c>
      <c r="C120" s="54"/>
      <c r="D120" s="53"/>
      <c r="E120" s="54"/>
      <c r="F120" s="54"/>
      <c r="G120" s="54"/>
      <c r="H120" s="54"/>
      <c r="I120" s="53"/>
      <c r="J120" s="54"/>
      <c r="K120" s="82">
        <v>4577580</v>
      </c>
      <c r="L120" s="74">
        <f t="shared" si="21"/>
        <v>4577580</v>
      </c>
      <c r="M120" s="82">
        <v>0</v>
      </c>
      <c r="N120" s="82">
        <v>0</v>
      </c>
    </row>
    <row r="121" spans="1:14" s="49" customFormat="1" ht="42.75" customHeight="1" hidden="1">
      <c r="A121" s="28" t="s">
        <v>248</v>
      </c>
      <c r="B121" s="6"/>
      <c r="C121" s="54"/>
      <c r="D121" s="53"/>
      <c r="E121" s="54"/>
      <c r="F121" s="54"/>
      <c r="G121" s="54"/>
      <c r="H121" s="54"/>
      <c r="I121" s="53"/>
      <c r="J121" s="54"/>
      <c r="K121" s="82"/>
      <c r="L121" s="74"/>
      <c r="M121" s="88">
        <v>0</v>
      </c>
      <c r="N121" s="88">
        <v>0</v>
      </c>
    </row>
    <row r="122" spans="1:14" s="49" customFormat="1" ht="36" customHeight="1" hidden="1">
      <c r="A122" s="28" t="s">
        <v>258</v>
      </c>
      <c r="B122" s="6"/>
      <c r="C122" s="54"/>
      <c r="D122" s="53"/>
      <c r="E122" s="54"/>
      <c r="F122" s="54"/>
      <c r="G122" s="54"/>
      <c r="H122" s="54"/>
      <c r="I122" s="53"/>
      <c r="J122" s="54"/>
      <c r="K122" s="82"/>
      <c r="L122" s="74"/>
      <c r="M122" s="88">
        <v>0</v>
      </c>
      <c r="N122" s="88">
        <v>0</v>
      </c>
    </row>
    <row r="123" spans="1:14" s="49" customFormat="1" ht="46.5" customHeight="1" hidden="1">
      <c r="A123" s="28" t="s">
        <v>259</v>
      </c>
      <c r="B123" s="6"/>
      <c r="C123" s="54"/>
      <c r="D123" s="53"/>
      <c r="E123" s="54"/>
      <c r="F123" s="54"/>
      <c r="G123" s="54"/>
      <c r="H123" s="54"/>
      <c r="I123" s="53"/>
      <c r="J123" s="54"/>
      <c r="K123" s="82"/>
      <c r="L123" s="74"/>
      <c r="M123" s="88">
        <v>0</v>
      </c>
      <c r="N123" s="88">
        <v>0</v>
      </c>
    </row>
    <row r="124" spans="1:14" s="47" customFormat="1" ht="51.75" customHeight="1">
      <c r="A124" s="25" t="s">
        <v>117</v>
      </c>
      <c r="B124" s="10" t="s">
        <v>136</v>
      </c>
      <c r="C124" s="3">
        <f aca="true" t="shared" si="23" ref="C124:J124">SUM(C125:C128,C142:C147,C148)</f>
        <v>240094.2</v>
      </c>
      <c r="D124" s="3">
        <f t="shared" si="23"/>
        <v>42621.3</v>
      </c>
      <c r="E124" s="3">
        <f t="shared" si="23"/>
        <v>197472.9</v>
      </c>
      <c r="F124" s="3">
        <f t="shared" si="23"/>
        <v>191307.6</v>
      </c>
      <c r="G124" s="3">
        <f t="shared" si="23"/>
        <v>191307.6</v>
      </c>
      <c r="H124" s="3">
        <f t="shared" si="23"/>
        <v>176560</v>
      </c>
      <c r="I124" s="3">
        <f t="shared" si="23"/>
        <v>-710.8999999999996</v>
      </c>
      <c r="J124" s="3">
        <f t="shared" si="23"/>
        <v>240805.1</v>
      </c>
      <c r="K124" s="64">
        <f>SUM(K125:K128,K141,K142:K147,K148)</f>
        <v>275991000</v>
      </c>
      <c r="L124" s="74">
        <f t="shared" si="21"/>
        <v>275750905.8</v>
      </c>
      <c r="M124" s="64">
        <f>SUM(M125:M128,M141,M142:M147,M148)</f>
        <v>259843000</v>
      </c>
      <c r="N124" s="64">
        <f>SUM(N125:N128,N141,N142:N147,N148)</f>
        <v>264677000</v>
      </c>
    </row>
    <row r="125" spans="1:14" s="47" customFormat="1" ht="60.75" customHeight="1" hidden="1">
      <c r="A125" s="2"/>
      <c r="B125" s="1"/>
      <c r="C125" s="4">
        <v>1289</v>
      </c>
      <c r="D125" s="18">
        <f>SUM(C125-E125)</f>
        <v>24</v>
      </c>
      <c r="E125" s="5">
        <v>1265</v>
      </c>
      <c r="F125" s="5">
        <v>1265</v>
      </c>
      <c r="G125" s="5">
        <v>1265</v>
      </c>
      <c r="H125" s="5">
        <v>316</v>
      </c>
      <c r="I125" s="18">
        <f>SUM(C125-J125)</f>
        <v>0</v>
      </c>
      <c r="J125" s="5">
        <v>1289</v>
      </c>
      <c r="K125" s="65"/>
      <c r="L125" s="74">
        <f t="shared" si="21"/>
        <v>-1289</v>
      </c>
      <c r="M125" s="65"/>
      <c r="N125" s="65"/>
    </row>
    <row r="126" spans="1:14" s="47" customFormat="1" ht="69.75" customHeight="1" hidden="1">
      <c r="A126" s="2"/>
      <c r="B126" s="1"/>
      <c r="C126" s="4">
        <v>1289</v>
      </c>
      <c r="D126" s="18">
        <f>SUM(C126-E126)</f>
        <v>24</v>
      </c>
      <c r="E126" s="5">
        <v>1265</v>
      </c>
      <c r="F126" s="5">
        <v>1265</v>
      </c>
      <c r="G126" s="5">
        <v>1265</v>
      </c>
      <c r="H126" s="5">
        <v>316</v>
      </c>
      <c r="I126" s="18">
        <f>SUM(C126-J126)</f>
        <v>0</v>
      </c>
      <c r="J126" s="5">
        <v>1289</v>
      </c>
      <c r="K126" s="65"/>
      <c r="L126" s="74">
        <f>SUM(K126-C126)</f>
        <v>-1289</v>
      </c>
      <c r="M126" s="65"/>
      <c r="N126" s="65"/>
    </row>
    <row r="127" spans="1:14" s="46" customFormat="1" ht="65.25" customHeight="1">
      <c r="A127" s="2" t="s">
        <v>118</v>
      </c>
      <c r="B127" s="1" t="s">
        <v>219</v>
      </c>
      <c r="C127" s="4">
        <v>29222</v>
      </c>
      <c r="D127" s="18">
        <f>SUM(C127-E127)</f>
        <v>-6787</v>
      </c>
      <c r="E127" s="5">
        <v>36009</v>
      </c>
      <c r="F127" s="5">
        <v>36009</v>
      </c>
      <c r="G127" s="5">
        <v>36009</v>
      </c>
      <c r="H127" s="5">
        <v>36009</v>
      </c>
      <c r="I127" s="18">
        <f>SUM(C127-J127)</f>
        <v>0</v>
      </c>
      <c r="J127" s="5">
        <v>29222</v>
      </c>
      <c r="K127" s="65">
        <v>26367000</v>
      </c>
      <c r="L127" s="74">
        <f t="shared" si="21"/>
        <v>26337778</v>
      </c>
      <c r="M127" s="65">
        <v>27491000</v>
      </c>
      <c r="N127" s="65">
        <v>28871000</v>
      </c>
    </row>
    <row r="128" spans="1:14" s="46" customFormat="1" ht="54" customHeight="1">
      <c r="A128" s="29" t="s">
        <v>119</v>
      </c>
      <c r="B128" s="16" t="s">
        <v>163</v>
      </c>
      <c r="C128" s="17">
        <f aca="true" t="shared" si="24" ref="C128:J128">SUM(C129:C136)</f>
        <v>191188</v>
      </c>
      <c r="D128" s="17">
        <f t="shared" si="24"/>
        <v>57988</v>
      </c>
      <c r="E128" s="17">
        <f t="shared" si="24"/>
        <v>133200</v>
      </c>
      <c r="F128" s="17">
        <f t="shared" si="24"/>
        <v>133200</v>
      </c>
      <c r="G128" s="17">
        <f t="shared" si="24"/>
        <v>133200</v>
      </c>
      <c r="H128" s="17">
        <f t="shared" si="24"/>
        <v>126653</v>
      </c>
      <c r="I128" s="17">
        <f t="shared" si="24"/>
        <v>4397</v>
      </c>
      <c r="J128" s="17">
        <f t="shared" si="24"/>
        <v>186791</v>
      </c>
      <c r="K128" s="66">
        <f>SUM(K129:K140)</f>
        <v>238884000</v>
      </c>
      <c r="L128" s="74">
        <f t="shared" si="21"/>
        <v>238692812</v>
      </c>
      <c r="M128" s="66">
        <f>SUM(M129:M140)</f>
        <v>225060000</v>
      </c>
      <c r="N128" s="66">
        <f>SUM(N129:N140)</f>
        <v>225211000</v>
      </c>
    </row>
    <row r="129" spans="1:14" s="31" customFormat="1" ht="57" customHeight="1">
      <c r="A129" s="28" t="s">
        <v>120</v>
      </c>
      <c r="B129" s="6" t="s">
        <v>44</v>
      </c>
      <c r="C129" s="5">
        <v>1871</v>
      </c>
      <c r="D129" s="18">
        <f aca="true" t="shared" si="25" ref="D129:D136">SUM(C129-E129)</f>
        <v>29</v>
      </c>
      <c r="E129" s="5">
        <v>1842</v>
      </c>
      <c r="F129" s="5">
        <v>1842</v>
      </c>
      <c r="G129" s="5">
        <v>1842</v>
      </c>
      <c r="H129" s="5">
        <v>1842</v>
      </c>
      <c r="I129" s="18">
        <f aca="true" t="shared" si="26" ref="I129:I136">SUM(C129-J129)</f>
        <v>0</v>
      </c>
      <c r="J129" s="5">
        <v>1871</v>
      </c>
      <c r="K129" s="68">
        <v>1999000</v>
      </c>
      <c r="L129" s="74">
        <f t="shared" si="21"/>
        <v>1997129</v>
      </c>
      <c r="M129" s="68">
        <v>1999000</v>
      </c>
      <c r="N129" s="68">
        <v>1999000</v>
      </c>
    </row>
    <row r="130" spans="1:14" s="31" customFormat="1" ht="71.25" customHeight="1">
      <c r="A130" s="28" t="s">
        <v>121</v>
      </c>
      <c r="B130" s="6" t="s">
        <v>200</v>
      </c>
      <c r="C130" s="5">
        <v>3788</v>
      </c>
      <c r="D130" s="18">
        <f t="shared" si="25"/>
        <v>35</v>
      </c>
      <c r="E130" s="5">
        <v>3753</v>
      </c>
      <c r="F130" s="5">
        <v>3753</v>
      </c>
      <c r="G130" s="5">
        <v>3753</v>
      </c>
      <c r="H130" s="5">
        <v>3753</v>
      </c>
      <c r="I130" s="18">
        <f t="shared" si="26"/>
        <v>0</v>
      </c>
      <c r="J130" s="5">
        <v>3788</v>
      </c>
      <c r="K130" s="68">
        <v>3117000</v>
      </c>
      <c r="L130" s="74">
        <f t="shared" si="21"/>
        <v>3113212</v>
      </c>
      <c r="M130" s="68">
        <v>3125000</v>
      </c>
      <c r="N130" s="68">
        <v>3129000</v>
      </c>
    </row>
    <row r="131" spans="1:14" s="31" customFormat="1" ht="78.75" customHeight="1">
      <c r="A131" s="28" t="s">
        <v>122</v>
      </c>
      <c r="B131" s="6" t="s">
        <v>287</v>
      </c>
      <c r="C131" s="5">
        <v>4232</v>
      </c>
      <c r="D131" s="18">
        <f t="shared" si="25"/>
        <v>101</v>
      </c>
      <c r="E131" s="5">
        <v>4131</v>
      </c>
      <c r="F131" s="5">
        <v>4131</v>
      </c>
      <c r="G131" s="5">
        <v>4131</v>
      </c>
      <c r="H131" s="5">
        <v>4131</v>
      </c>
      <c r="I131" s="18">
        <f t="shared" si="26"/>
        <v>0</v>
      </c>
      <c r="J131" s="5">
        <v>4232</v>
      </c>
      <c r="K131" s="68">
        <v>8569000</v>
      </c>
      <c r="L131" s="74">
        <f t="shared" si="21"/>
        <v>8564768</v>
      </c>
      <c r="M131" s="68">
        <v>8569000</v>
      </c>
      <c r="N131" s="68">
        <v>8569000</v>
      </c>
    </row>
    <row r="132" spans="1:14" s="31" customFormat="1" ht="71.25" customHeight="1" hidden="1">
      <c r="A132" s="28" t="s">
        <v>183</v>
      </c>
      <c r="B132" s="6" t="s">
        <v>199</v>
      </c>
      <c r="C132" s="5">
        <v>3329</v>
      </c>
      <c r="D132" s="18">
        <f t="shared" si="25"/>
        <v>229</v>
      </c>
      <c r="E132" s="5">
        <v>3100</v>
      </c>
      <c r="F132" s="5">
        <v>3100</v>
      </c>
      <c r="G132" s="5">
        <v>3100</v>
      </c>
      <c r="H132" s="5">
        <v>3100</v>
      </c>
      <c r="I132" s="18">
        <f t="shared" si="26"/>
        <v>0</v>
      </c>
      <c r="J132" s="5">
        <v>3329</v>
      </c>
      <c r="K132" s="68"/>
      <c r="L132" s="74">
        <f t="shared" si="21"/>
        <v>-3329</v>
      </c>
      <c r="M132" s="89"/>
      <c r="N132" s="89"/>
    </row>
    <row r="133" spans="1:14" s="31" customFormat="1" ht="47.25" customHeight="1">
      <c r="A133" s="28" t="s">
        <v>123</v>
      </c>
      <c r="B133" s="6" t="s">
        <v>295</v>
      </c>
      <c r="C133" s="5">
        <v>3329</v>
      </c>
      <c r="D133" s="18">
        <f t="shared" si="25"/>
        <v>229</v>
      </c>
      <c r="E133" s="5">
        <v>3100</v>
      </c>
      <c r="F133" s="5">
        <v>3100</v>
      </c>
      <c r="G133" s="5">
        <v>3100</v>
      </c>
      <c r="H133" s="5">
        <v>3100</v>
      </c>
      <c r="I133" s="18">
        <f t="shared" si="26"/>
        <v>0</v>
      </c>
      <c r="J133" s="5">
        <v>3329</v>
      </c>
      <c r="K133" s="68">
        <v>3543000</v>
      </c>
      <c r="L133" s="90"/>
      <c r="M133" s="68">
        <v>3685000</v>
      </c>
      <c r="N133" s="68">
        <v>3832000</v>
      </c>
    </row>
    <row r="134" spans="1:15" s="31" customFormat="1" ht="105" customHeight="1">
      <c r="A134" s="28" t="s">
        <v>124</v>
      </c>
      <c r="B134" s="6" t="s">
        <v>43</v>
      </c>
      <c r="C134" s="5">
        <v>119282</v>
      </c>
      <c r="D134" s="18">
        <f t="shared" si="25"/>
        <v>2985</v>
      </c>
      <c r="E134" s="5">
        <v>116297</v>
      </c>
      <c r="F134" s="5">
        <v>116297</v>
      </c>
      <c r="G134" s="5">
        <v>116297</v>
      </c>
      <c r="H134" s="5">
        <v>109750</v>
      </c>
      <c r="I134" s="18">
        <f t="shared" si="26"/>
        <v>2996</v>
      </c>
      <c r="J134" s="5">
        <v>116286</v>
      </c>
      <c r="K134" s="68">
        <f>143455000+7551000</f>
        <v>151006000</v>
      </c>
      <c r="L134" s="74">
        <f t="shared" si="21"/>
        <v>150886718</v>
      </c>
      <c r="M134" s="68">
        <v>143455000</v>
      </c>
      <c r="N134" s="68">
        <v>143455000</v>
      </c>
      <c r="O134" s="114"/>
    </row>
    <row r="135" spans="1:14" s="31" customFormat="1" ht="54.75" customHeight="1">
      <c r="A135" s="28" t="s">
        <v>125</v>
      </c>
      <c r="B135" s="6" t="s">
        <v>289</v>
      </c>
      <c r="C135" s="5">
        <v>409</v>
      </c>
      <c r="D135" s="18">
        <f t="shared" si="25"/>
        <v>-131</v>
      </c>
      <c r="E135" s="5">
        <v>540</v>
      </c>
      <c r="F135" s="5">
        <v>540</v>
      </c>
      <c r="G135" s="5">
        <v>540</v>
      </c>
      <c r="H135" s="5">
        <v>540</v>
      </c>
      <c r="I135" s="18">
        <f t="shared" si="26"/>
        <v>0</v>
      </c>
      <c r="J135" s="5">
        <v>409</v>
      </c>
      <c r="K135" s="68">
        <v>374000</v>
      </c>
      <c r="L135" s="74">
        <f t="shared" si="21"/>
        <v>373591</v>
      </c>
      <c r="M135" s="68">
        <v>374000</v>
      </c>
      <c r="N135" s="68">
        <v>374000</v>
      </c>
    </row>
    <row r="136" spans="1:15" s="31" customFormat="1" ht="87.75" customHeight="1">
      <c r="A136" s="28" t="s">
        <v>126</v>
      </c>
      <c r="B136" s="6" t="s">
        <v>290</v>
      </c>
      <c r="C136" s="5">
        <v>54948</v>
      </c>
      <c r="D136" s="18">
        <f t="shared" si="25"/>
        <v>54511</v>
      </c>
      <c r="E136" s="5">
        <v>437</v>
      </c>
      <c r="F136" s="5">
        <v>437</v>
      </c>
      <c r="G136" s="5">
        <v>437</v>
      </c>
      <c r="H136" s="5">
        <v>437</v>
      </c>
      <c r="I136" s="18">
        <f t="shared" si="26"/>
        <v>1401</v>
      </c>
      <c r="J136" s="5">
        <v>53547</v>
      </c>
      <c r="K136" s="82">
        <f>59814000+3148000</f>
        <v>62962000</v>
      </c>
      <c r="L136" s="74">
        <f t="shared" si="21"/>
        <v>62907052</v>
      </c>
      <c r="M136" s="82">
        <v>59814000</v>
      </c>
      <c r="N136" s="82">
        <v>59814000</v>
      </c>
      <c r="O136" s="114"/>
    </row>
    <row r="137" spans="1:14" s="31" customFormat="1" ht="78" customHeight="1">
      <c r="A137" s="28" t="s">
        <v>127</v>
      </c>
      <c r="B137" s="6" t="s">
        <v>45</v>
      </c>
      <c r="C137" s="5"/>
      <c r="D137" s="18"/>
      <c r="E137" s="5"/>
      <c r="F137" s="5"/>
      <c r="G137" s="5"/>
      <c r="H137" s="5"/>
      <c r="I137" s="18"/>
      <c r="J137" s="5"/>
      <c r="K137" s="68">
        <v>3275000</v>
      </c>
      <c r="L137" s="74"/>
      <c r="M137" s="68">
        <v>3275000</v>
      </c>
      <c r="N137" s="68">
        <v>3275000</v>
      </c>
    </row>
    <row r="138" spans="1:14" s="31" customFormat="1" ht="51" customHeight="1">
      <c r="A138" s="28" t="s">
        <v>3</v>
      </c>
      <c r="B138" s="6" t="s">
        <v>46</v>
      </c>
      <c r="C138" s="5"/>
      <c r="D138" s="18"/>
      <c r="E138" s="5"/>
      <c r="F138" s="5"/>
      <c r="G138" s="5"/>
      <c r="H138" s="5"/>
      <c r="I138" s="18"/>
      <c r="J138" s="5"/>
      <c r="K138" s="68">
        <v>3275000</v>
      </c>
      <c r="L138" s="74"/>
      <c r="M138" s="68">
        <v>0</v>
      </c>
      <c r="N138" s="68">
        <v>0</v>
      </c>
    </row>
    <row r="139" spans="1:14" s="31" customFormat="1" ht="59.25" customHeight="1">
      <c r="A139" s="28" t="s">
        <v>267</v>
      </c>
      <c r="B139" s="6" t="s">
        <v>266</v>
      </c>
      <c r="C139" s="5"/>
      <c r="D139" s="18"/>
      <c r="E139" s="5"/>
      <c r="F139" s="5"/>
      <c r="G139" s="5"/>
      <c r="H139" s="5"/>
      <c r="I139" s="18"/>
      <c r="J139" s="5"/>
      <c r="K139" s="68">
        <v>288000</v>
      </c>
      <c r="L139" s="74"/>
      <c r="M139" s="68">
        <v>288000</v>
      </c>
      <c r="N139" s="68">
        <v>288000</v>
      </c>
    </row>
    <row r="140" spans="1:14" s="31" customFormat="1" ht="59.25" customHeight="1">
      <c r="A140" s="28" t="s">
        <v>305</v>
      </c>
      <c r="B140" s="6" t="s">
        <v>306</v>
      </c>
      <c r="C140" s="5"/>
      <c r="D140" s="18"/>
      <c r="E140" s="5"/>
      <c r="F140" s="5"/>
      <c r="G140" s="5"/>
      <c r="H140" s="5"/>
      <c r="I140" s="18"/>
      <c r="J140" s="5"/>
      <c r="K140" s="68">
        <v>476000</v>
      </c>
      <c r="L140" s="74"/>
      <c r="M140" s="68">
        <v>476000</v>
      </c>
      <c r="N140" s="68">
        <v>476000</v>
      </c>
    </row>
    <row r="141" spans="1:14" s="31" customFormat="1" ht="87" customHeight="1">
      <c r="A141" s="2" t="s">
        <v>128</v>
      </c>
      <c r="B141" s="1" t="s">
        <v>292</v>
      </c>
      <c r="C141" s="5"/>
      <c r="D141" s="18"/>
      <c r="E141" s="5"/>
      <c r="F141" s="5"/>
      <c r="G141" s="5"/>
      <c r="H141" s="5"/>
      <c r="I141" s="18"/>
      <c r="J141" s="5"/>
      <c r="K141" s="65">
        <v>5640000</v>
      </c>
      <c r="L141" s="74"/>
      <c r="M141" s="65">
        <v>5640000</v>
      </c>
      <c r="N141" s="65">
        <v>5640000</v>
      </c>
    </row>
    <row r="142" spans="1:14" s="60" customFormat="1" ht="21.75" customHeight="1" hidden="1">
      <c r="A142" s="55" t="s">
        <v>204</v>
      </c>
      <c r="B142" s="56" t="s">
        <v>294</v>
      </c>
      <c r="C142" s="57">
        <v>895.2</v>
      </c>
      <c r="D142" s="58">
        <f>SUM(C142-E142)</f>
        <v>-1742.7</v>
      </c>
      <c r="E142" s="59">
        <v>2637.9</v>
      </c>
      <c r="F142" s="59">
        <v>1758.6</v>
      </c>
      <c r="G142" s="59">
        <v>1758.6</v>
      </c>
      <c r="H142" s="59">
        <v>0</v>
      </c>
      <c r="I142" s="58">
        <f>SUM(C142-J142)</f>
        <v>0</v>
      </c>
      <c r="J142" s="59">
        <v>895.2</v>
      </c>
      <c r="K142" s="65"/>
      <c r="L142" s="74">
        <f t="shared" si="21"/>
        <v>-895.2</v>
      </c>
      <c r="M142" s="80"/>
      <c r="N142" s="80"/>
    </row>
    <row r="143" spans="1:14" s="31" customFormat="1" ht="72.75" customHeight="1">
      <c r="A143" s="2" t="s">
        <v>129</v>
      </c>
      <c r="B143" s="69" t="s">
        <v>293</v>
      </c>
      <c r="C143" s="5">
        <v>5455</v>
      </c>
      <c r="D143" s="18">
        <f>SUM(C143-E143)</f>
        <v>1364</v>
      </c>
      <c r="E143" s="5">
        <v>4091</v>
      </c>
      <c r="F143" s="5">
        <v>4091</v>
      </c>
      <c r="G143" s="5">
        <v>4091</v>
      </c>
      <c r="H143" s="5">
        <v>0</v>
      </c>
      <c r="I143" s="18">
        <f>SUM(C143-J143)</f>
        <v>0</v>
      </c>
      <c r="J143" s="5">
        <v>5455</v>
      </c>
      <c r="K143" s="76">
        <v>4955000</v>
      </c>
      <c r="L143" s="74">
        <f>SUM(K143-C143)</f>
        <v>4949545</v>
      </c>
      <c r="M143" s="76">
        <v>1652000</v>
      </c>
      <c r="N143" s="76">
        <v>4955000</v>
      </c>
    </row>
    <row r="144" spans="1:15" s="31" customFormat="1" ht="59.25" customHeight="1">
      <c r="A144" s="2" t="s">
        <v>326</v>
      </c>
      <c r="B144" s="69" t="s">
        <v>327</v>
      </c>
      <c r="C144" s="5"/>
      <c r="D144" s="18"/>
      <c r="E144" s="5"/>
      <c r="F144" s="5"/>
      <c r="G144" s="5"/>
      <c r="H144" s="5"/>
      <c r="I144" s="18"/>
      <c r="J144" s="5"/>
      <c r="K144" s="76">
        <v>145000</v>
      </c>
      <c r="L144" s="74"/>
      <c r="M144" s="76">
        <v>0</v>
      </c>
      <c r="N144" s="76">
        <v>0</v>
      </c>
      <c r="O144" s="114"/>
    </row>
    <row r="145" spans="1:14" s="60" customFormat="1" ht="42.75" customHeight="1" hidden="1">
      <c r="A145" s="2" t="s">
        <v>291</v>
      </c>
      <c r="B145" s="56" t="s">
        <v>212</v>
      </c>
      <c r="C145" s="57">
        <v>0</v>
      </c>
      <c r="D145" s="58">
        <f>SUM(C145-E145)</f>
        <v>-5286</v>
      </c>
      <c r="E145" s="59">
        <v>5286</v>
      </c>
      <c r="F145" s="59">
        <v>0</v>
      </c>
      <c r="G145" s="59"/>
      <c r="H145" s="59"/>
      <c r="I145" s="58">
        <f>SUM(C145-J145)</f>
        <v>-5370.9</v>
      </c>
      <c r="J145" s="59">
        <v>5370.9</v>
      </c>
      <c r="K145" s="76"/>
      <c r="L145" s="74"/>
      <c r="M145" s="81">
        <v>0</v>
      </c>
      <c r="N145" s="81">
        <v>0</v>
      </c>
    </row>
    <row r="146" spans="1:14" s="60" customFormat="1" ht="28.5" customHeight="1" hidden="1">
      <c r="A146" s="2" t="s">
        <v>234</v>
      </c>
      <c r="B146" s="56" t="s">
        <v>218</v>
      </c>
      <c r="C146" s="57"/>
      <c r="D146" s="58"/>
      <c r="E146" s="59"/>
      <c r="F146" s="59"/>
      <c r="G146" s="59"/>
      <c r="H146" s="59"/>
      <c r="I146" s="58"/>
      <c r="J146" s="59"/>
      <c r="K146" s="76">
        <v>0</v>
      </c>
      <c r="L146" s="74"/>
      <c r="M146" s="81"/>
      <c r="N146" s="81"/>
    </row>
    <row r="147" spans="1:14" s="31" customFormat="1" ht="24.75" customHeight="1" hidden="1">
      <c r="A147" s="2" t="s">
        <v>13</v>
      </c>
      <c r="B147" s="1" t="s">
        <v>8</v>
      </c>
      <c r="C147" s="4">
        <v>10756</v>
      </c>
      <c r="D147" s="17">
        <f aca="true" t="shared" si="27" ref="D147:D152">SUM(C147-E147)</f>
        <v>-2963</v>
      </c>
      <c r="E147" s="4">
        <v>13719</v>
      </c>
      <c r="F147" s="4">
        <v>13719</v>
      </c>
      <c r="G147" s="4">
        <v>13719</v>
      </c>
      <c r="H147" s="4">
        <v>13266</v>
      </c>
      <c r="I147" s="17">
        <f aca="true" t="shared" si="28" ref="I147:I152">SUM(C147-J147)</f>
        <v>263</v>
      </c>
      <c r="J147" s="4">
        <v>10493</v>
      </c>
      <c r="K147" s="65"/>
      <c r="L147" s="74">
        <f t="shared" si="21"/>
        <v>-10756</v>
      </c>
      <c r="M147" s="80"/>
      <c r="N147" s="80"/>
    </row>
    <row r="148" spans="1:14" s="46" customFormat="1" ht="24.75" customHeight="1" hidden="1">
      <c r="A148" s="29" t="s">
        <v>86</v>
      </c>
      <c r="B148" s="16" t="s">
        <v>164</v>
      </c>
      <c r="C148" s="17">
        <f>SUM(C149:C152)</f>
        <v>0</v>
      </c>
      <c r="D148" s="18">
        <f t="shared" si="27"/>
        <v>0</v>
      </c>
      <c r="E148" s="18">
        <f>SUM(E149:E152)</f>
        <v>0</v>
      </c>
      <c r="F148" s="18">
        <f>SUM(F149:F152)</f>
        <v>0</v>
      </c>
      <c r="G148" s="18">
        <f>SUM(G149:G152)</f>
        <v>0</v>
      </c>
      <c r="H148" s="18">
        <f>SUM(H149:H152)</f>
        <v>0</v>
      </c>
      <c r="I148" s="18">
        <f t="shared" si="28"/>
        <v>0</v>
      </c>
      <c r="J148" s="18">
        <f>SUM(J149:J152)</f>
        <v>0</v>
      </c>
      <c r="K148" s="76"/>
      <c r="L148" s="74">
        <f t="shared" si="21"/>
        <v>0</v>
      </c>
      <c r="M148" s="81"/>
      <c r="N148" s="81"/>
    </row>
    <row r="149" spans="1:14" s="31" customFormat="1" ht="28.5" customHeight="1" hidden="1">
      <c r="A149" s="28" t="s">
        <v>86</v>
      </c>
      <c r="B149" s="6" t="s">
        <v>169</v>
      </c>
      <c r="C149" s="5"/>
      <c r="D149" s="18">
        <f t="shared" si="27"/>
        <v>0</v>
      </c>
      <c r="E149" s="5"/>
      <c r="F149" s="5"/>
      <c r="G149" s="5"/>
      <c r="H149" s="5"/>
      <c r="I149" s="18">
        <f t="shared" si="28"/>
        <v>0</v>
      </c>
      <c r="J149" s="5"/>
      <c r="K149" s="82"/>
      <c r="L149" s="74">
        <f t="shared" si="21"/>
        <v>0</v>
      </c>
      <c r="M149" s="88"/>
      <c r="N149" s="88"/>
    </row>
    <row r="150" spans="1:14" s="31" customFormat="1" ht="27.75" customHeight="1" hidden="1">
      <c r="A150" s="28" t="s">
        <v>86</v>
      </c>
      <c r="B150" s="6" t="s">
        <v>180</v>
      </c>
      <c r="C150" s="5"/>
      <c r="D150" s="18">
        <f t="shared" si="27"/>
        <v>0</v>
      </c>
      <c r="E150" s="5"/>
      <c r="F150" s="5"/>
      <c r="G150" s="5"/>
      <c r="H150" s="5"/>
      <c r="I150" s="18">
        <f t="shared" si="28"/>
        <v>0</v>
      </c>
      <c r="J150" s="5"/>
      <c r="K150" s="82"/>
      <c r="L150" s="74">
        <f t="shared" si="21"/>
        <v>0</v>
      </c>
      <c r="M150" s="88"/>
      <c r="N150" s="88"/>
    </row>
    <row r="151" spans="1:14" s="31" customFormat="1" ht="30.75" customHeight="1" hidden="1">
      <c r="A151" s="30" t="s">
        <v>86</v>
      </c>
      <c r="B151" s="15" t="s">
        <v>151</v>
      </c>
      <c r="C151" s="5"/>
      <c r="D151" s="18">
        <f t="shared" si="27"/>
        <v>0</v>
      </c>
      <c r="E151" s="5"/>
      <c r="F151" s="5"/>
      <c r="G151" s="5"/>
      <c r="H151" s="5"/>
      <c r="I151" s="18">
        <f t="shared" si="28"/>
        <v>0</v>
      </c>
      <c r="J151" s="5"/>
      <c r="K151" s="82"/>
      <c r="L151" s="74">
        <f t="shared" si="21"/>
        <v>0</v>
      </c>
      <c r="M151" s="88"/>
      <c r="N151" s="88"/>
    </row>
    <row r="152" spans="1:14" s="31" customFormat="1" ht="29.25" customHeight="1" hidden="1">
      <c r="A152" s="28" t="s">
        <v>86</v>
      </c>
      <c r="B152" s="6" t="s">
        <v>160</v>
      </c>
      <c r="C152" s="5"/>
      <c r="D152" s="18">
        <f t="shared" si="27"/>
        <v>0</v>
      </c>
      <c r="E152" s="5"/>
      <c r="F152" s="5"/>
      <c r="G152" s="5"/>
      <c r="H152" s="5"/>
      <c r="I152" s="18">
        <f t="shared" si="28"/>
        <v>0</v>
      </c>
      <c r="J152" s="5"/>
      <c r="K152" s="82"/>
      <c r="L152" s="74">
        <f t="shared" si="21"/>
        <v>0</v>
      </c>
      <c r="M152" s="88"/>
      <c r="N152" s="88"/>
    </row>
    <row r="153" spans="1:14" s="45" customFormat="1" ht="28.5" customHeight="1">
      <c r="A153" s="25" t="s">
        <v>130</v>
      </c>
      <c r="B153" s="10" t="s">
        <v>111</v>
      </c>
      <c r="C153" s="3">
        <f aca="true" t="shared" si="29" ref="C153:J153">SUM(C154:C154,C163,C158)</f>
        <v>3396.465</v>
      </c>
      <c r="D153" s="3">
        <f t="shared" si="29"/>
        <v>3113.465</v>
      </c>
      <c r="E153" s="3">
        <f t="shared" si="29"/>
        <v>283</v>
      </c>
      <c r="F153" s="3">
        <f t="shared" si="29"/>
        <v>259.2</v>
      </c>
      <c r="G153" s="3">
        <f t="shared" si="29"/>
        <v>253</v>
      </c>
      <c r="H153" s="3">
        <f t="shared" si="29"/>
        <v>253</v>
      </c>
      <c r="I153" s="3">
        <f t="shared" si="29"/>
        <v>1000.0000000000001</v>
      </c>
      <c r="J153" s="3">
        <f t="shared" si="29"/>
        <v>2396.4649999999997</v>
      </c>
      <c r="K153" s="64">
        <f>SUM(K154,K158,K159,K160)</f>
        <v>17291199</v>
      </c>
      <c r="L153" s="64">
        <f>SUM(L154,L158,L159,L160)</f>
        <v>11167899</v>
      </c>
      <c r="M153" s="64">
        <f>SUM(M154,M158,M159,M160)</f>
        <v>2280499</v>
      </c>
      <c r="N153" s="64">
        <f>SUM(N154,N158,N159,N160)</f>
        <v>2280499</v>
      </c>
    </row>
    <row r="154" spans="1:14" s="48" customFormat="1" ht="92.25" customHeight="1">
      <c r="A154" s="29" t="s">
        <v>131</v>
      </c>
      <c r="B154" s="16" t="s">
        <v>165</v>
      </c>
      <c r="C154" s="17">
        <f>SUM(C155:C157)</f>
        <v>3396.465</v>
      </c>
      <c r="D154" s="17">
        <f aca="true" t="shared" si="30" ref="D154:J154">SUM(D155:D157)</f>
        <v>3113.465</v>
      </c>
      <c r="E154" s="17">
        <f t="shared" si="30"/>
        <v>283</v>
      </c>
      <c r="F154" s="17">
        <f t="shared" si="30"/>
        <v>259.2</v>
      </c>
      <c r="G154" s="17">
        <f t="shared" si="30"/>
        <v>253</v>
      </c>
      <c r="H154" s="17">
        <f t="shared" si="30"/>
        <v>253</v>
      </c>
      <c r="I154" s="17">
        <f t="shared" si="30"/>
        <v>1000.0000000000001</v>
      </c>
      <c r="J154" s="17">
        <f t="shared" si="30"/>
        <v>2396.4649999999997</v>
      </c>
      <c r="K154" s="66">
        <f>SUM(K155:K157)</f>
        <v>2616199</v>
      </c>
      <c r="L154" s="66">
        <f>SUM(L155:L157)</f>
        <v>2285899</v>
      </c>
      <c r="M154" s="66">
        <f>SUM(M155:M157)</f>
        <v>2280499</v>
      </c>
      <c r="N154" s="66">
        <f>SUM(N155:N157)</f>
        <v>2280499</v>
      </c>
    </row>
    <row r="155" spans="1:14" s="49" customFormat="1" ht="62.25" customHeight="1">
      <c r="A155" s="28" t="s">
        <v>132</v>
      </c>
      <c r="B155" s="6" t="s">
        <v>145</v>
      </c>
      <c r="C155" s="5">
        <f>60+900</f>
        <v>960</v>
      </c>
      <c r="D155" s="18">
        <f>SUM(C155-E155)</f>
        <v>910</v>
      </c>
      <c r="E155" s="5">
        <v>50</v>
      </c>
      <c r="F155" s="5">
        <f>20+6.2</f>
        <v>26.2</v>
      </c>
      <c r="G155" s="5">
        <v>20</v>
      </c>
      <c r="H155" s="5">
        <v>20</v>
      </c>
      <c r="I155" s="18">
        <f>SUM(C155-J155)</f>
        <v>0</v>
      </c>
      <c r="J155" s="5">
        <f>60+900</f>
        <v>960</v>
      </c>
      <c r="K155" s="68">
        <v>1616644</v>
      </c>
      <c r="L155" s="68">
        <v>1616644</v>
      </c>
      <c r="M155" s="68">
        <v>1616644</v>
      </c>
      <c r="N155" s="68">
        <v>1616644</v>
      </c>
    </row>
    <row r="156" spans="1:14" s="49" customFormat="1" ht="66" customHeight="1">
      <c r="A156" s="28" t="s">
        <v>133</v>
      </c>
      <c r="B156" s="6" t="s">
        <v>147</v>
      </c>
      <c r="C156" s="50">
        <v>627.872</v>
      </c>
      <c r="D156" s="51">
        <f>SUM(C156-E156)</f>
        <v>627.872</v>
      </c>
      <c r="E156" s="50"/>
      <c r="F156" s="50"/>
      <c r="G156" s="50"/>
      <c r="H156" s="50"/>
      <c r="I156" s="51">
        <f>SUM(C156-J156)</f>
        <v>0</v>
      </c>
      <c r="J156" s="50">
        <v>627.872</v>
      </c>
      <c r="K156" s="68">
        <v>349690</v>
      </c>
      <c r="L156" s="68">
        <v>325390</v>
      </c>
      <c r="M156" s="68">
        <v>334390</v>
      </c>
      <c r="N156" s="68">
        <v>334390</v>
      </c>
    </row>
    <row r="157" spans="1:14" s="49" customFormat="1" ht="68.25" customHeight="1">
      <c r="A157" s="28" t="s">
        <v>134</v>
      </c>
      <c r="B157" s="6" t="s">
        <v>146</v>
      </c>
      <c r="C157" s="5">
        <v>1808.593</v>
      </c>
      <c r="D157" s="18">
        <f>SUM(C157-E157)</f>
        <v>1575.593</v>
      </c>
      <c r="E157" s="5">
        <v>233</v>
      </c>
      <c r="F157" s="5">
        <v>233</v>
      </c>
      <c r="G157" s="5">
        <v>233</v>
      </c>
      <c r="H157" s="5">
        <v>233</v>
      </c>
      <c r="I157" s="18">
        <f>SUM(C157-J157)</f>
        <v>1000.0000000000001</v>
      </c>
      <c r="J157" s="5">
        <v>808.593</v>
      </c>
      <c r="K157" s="68">
        <v>649865</v>
      </c>
      <c r="L157" s="68">
        <v>343865</v>
      </c>
      <c r="M157" s="68">
        <v>329465</v>
      </c>
      <c r="N157" s="68">
        <v>329465</v>
      </c>
    </row>
    <row r="158" spans="1:14" s="48" customFormat="1" ht="52.5" customHeight="1" hidden="1">
      <c r="A158" s="2" t="s">
        <v>280</v>
      </c>
      <c r="B158" s="1" t="s">
        <v>101</v>
      </c>
      <c r="C158" s="4"/>
      <c r="D158" s="18">
        <f>SUM(C158-E158)</f>
        <v>0</v>
      </c>
      <c r="E158" s="5"/>
      <c r="F158" s="5"/>
      <c r="G158" s="5"/>
      <c r="H158" s="5"/>
      <c r="I158" s="18">
        <f>SUM(C158-J158)</f>
        <v>0</v>
      </c>
      <c r="J158" s="5"/>
      <c r="K158" s="76"/>
      <c r="L158" s="74">
        <f t="shared" si="21"/>
        <v>0</v>
      </c>
      <c r="M158" s="76"/>
      <c r="N158" s="76"/>
    </row>
    <row r="159" spans="1:14" s="48" customFormat="1" ht="52.5" customHeight="1">
      <c r="A159" s="2" t="s">
        <v>250</v>
      </c>
      <c r="B159" s="1" t="s">
        <v>264</v>
      </c>
      <c r="C159" s="4"/>
      <c r="D159" s="18"/>
      <c r="E159" s="5"/>
      <c r="F159" s="5"/>
      <c r="G159" s="5"/>
      <c r="H159" s="5"/>
      <c r="I159" s="18"/>
      <c r="J159" s="5"/>
      <c r="K159" s="76">
        <v>3720000</v>
      </c>
      <c r="L159" s="74"/>
      <c r="M159" s="76">
        <v>0</v>
      </c>
      <c r="N159" s="76">
        <v>0</v>
      </c>
    </row>
    <row r="160" spans="1:14" s="61" customFormat="1" ht="52.5" customHeight="1">
      <c r="A160" s="29" t="s">
        <v>135</v>
      </c>
      <c r="B160" s="16" t="s">
        <v>265</v>
      </c>
      <c r="C160" s="17"/>
      <c r="D160" s="18"/>
      <c r="E160" s="18"/>
      <c r="F160" s="18"/>
      <c r="G160" s="18"/>
      <c r="H160" s="18"/>
      <c r="I160" s="18"/>
      <c r="J160" s="18"/>
      <c r="K160" s="87">
        <f>SUM(K161:K163)</f>
        <v>10955000</v>
      </c>
      <c r="L160" s="87">
        <f>SUM(L161:L163)</f>
        <v>8882000</v>
      </c>
      <c r="M160" s="87">
        <f>SUM(M161:M163)</f>
        <v>0</v>
      </c>
      <c r="N160" s="87">
        <f>SUM(N161:N163)</f>
        <v>0</v>
      </c>
    </row>
    <row r="161" spans="1:14" s="48" customFormat="1" ht="52.5" customHeight="1">
      <c r="A161" s="28" t="s">
        <v>307</v>
      </c>
      <c r="B161" s="6" t="s">
        <v>308</v>
      </c>
      <c r="C161" s="5"/>
      <c r="D161" s="18"/>
      <c r="E161" s="5"/>
      <c r="F161" s="5"/>
      <c r="G161" s="5"/>
      <c r="H161" s="5"/>
      <c r="I161" s="18"/>
      <c r="J161" s="5"/>
      <c r="K161" s="82">
        <v>2073000</v>
      </c>
      <c r="L161" s="83"/>
      <c r="M161" s="82">
        <v>0</v>
      </c>
      <c r="N161" s="82">
        <v>0</v>
      </c>
    </row>
    <row r="162" spans="1:14" s="48" customFormat="1" ht="62.25" customHeight="1">
      <c r="A162" s="28" t="s">
        <v>322</v>
      </c>
      <c r="B162" s="6" t="s">
        <v>323</v>
      </c>
      <c r="C162" s="5"/>
      <c r="D162" s="18">
        <f>SUM(C162-E162)</f>
        <v>0</v>
      </c>
      <c r="E162" s="5"/>
      <c r="F162" s="5"/>
      <c r="G162" s="5"/>
      <c r="H162" s="5"/>
      <c r="I162" s="18">
        <f>SUM(C162-J162)</f>
        <v>0</v>
      </c>
      <c r="J162" s="5"/>
      <c r="K162" s="82">
        <v>4613000</v>
      </c>
      <c r="L162" s="83">
        <f>SUM(K162-C162)</f>
        <v>4613000</v>
      </c>
      <c r="M162" s="82">
        <v>0</v>
      </c>
      <c r="N162" s="82">
        <v>0</v>
      </c>
    </row>
    <row r="163" spans="1:14" s="48" customFormat="1" ht="53.25" customHeight="1">
      <c r="A163" s="28" t="s">
        <v>324</v>
      </c>
      <c r="B163" s="6" t="s">
        <v>325</v>
      </c>
      <c r="C163" s="5"/>
      <c r="D163" s="18">
        <f>SUM(C163-E163)</f>
        <v>0</v>
      </c>
      <c r="E163" s="5"/>
      <c r="F163" s="5"/>
      <c r="G163" s="5"/>
      <c r="H163" s="5"/>
      <c r="I163" s="18">
        <f>SUM(C163-J163)</f>
        <v>0</v>
      </c>
      <c r="J163" s="5"/>
      <c r="K163" s="82">
        <v>4269000</v>
      </c>
      <c r="L163" s="83">
        <f t="shared" si="21"/>
        <v>4269000</v>
      </c>
      <c r="M163" s="82">
        <v>0</v>
      </c>
      <c r="N163" s="82">
        <v>0</v>
      </c>
    </row>
    <row r="164" spans="1:14" s="45" customFormat="1" ht="30.75" customHeight="1">
      <c r="A164" s="25" t="s">
        <v>202</v>
      </c>
      <c r="B164" s="10" t="s">
        <v>88</v>
      </c>
      <c r="C164" s="3">
        <f>SUM(C165:C168)</f>
        <v>1758</v>
      </c>
      <c r="D164" s="3">
        <f aca="true" t="shared" si="31" ref="D164:K164">SUM(D165:D168)</f>
        <v>-7614.4</v>
      </c>
      <c r="E164" s="3">
        <f t="shared" si="31"/>
        <v>9372.4</v>
      </c>
      <c r="F164" s="3">
        <f t="shared" si="31"/>
        <v>8670.7</v>
      </c>
      <c r="G164" s="3">
        <f t="shared" si="31"/>
        <v>7835</v>
      </c>
      <c r="H164" s="3">
        <f t="shared" si="31"/>
        <v>7519</v>
      </c>
      <c r="I164" s="3">
        <f t="shared" si="31"/>
        <v>258</v>
      </c>
      <c r="J164" s="3">
        <f t="shared" si="31"/>
        <v>1500</v>
      </c>
      <c r="K164" s="64">
        <f t="shared" si="31"/>
        <v>1075997.1600000001</v>
      </c>
      <c r="L164" s="74">
        <f t="shared" si="21"/>
        <v>1074239.1600000001</v>
      </c>
      <c r="M164" s="64">
        <f>SUM(M165:M168)</f>
        <v>0</v>
      </c>
      <c r="N164" s="64">
        <f>SUM(N165:N168)</f>
        <v>0</v>
      </c>
    </row>
    <row r="165" spans="1:14" s="45" customFormat="1" ht="36" customHeight="1">
      <c r="A165" s="2" t="s">
        <v>182</v>
      </c>
      <c r="B165" s="1" t="s">
        <v>188</v>
      </c>
      <c r="C165" s="4">
        <v>500</v>
      </c>
      <c r="D165" s="18">
        <f>SUM(C165-E165)</f>
        <v>-2067.4</v>
      </c>
      <c r="E165" s="5">
        <v>2567.4</v>
      </c>
      <c r="F165" s="5">
        <f>2500+19+41.5</f>
        <v>2560.5</v>
      </c>
      <c r="G165" s="5">
        <f>2500+19</f>
        <v>2519</v>
      </c>
      <c r="H165" s="5">
        <f>2500+19</f>
        <v>2519</v>
      </c>
      <c r="I165" s="18">
        <f>SUM(C165-J165)</f>
        <v>0</v>
      </c>
      <c r="J165" s="5">
        <v>500</v>
      </c>
      <c r="K165" s="76">
        <f>31400+15500+8000+15000</f>
        <v>69900</v>
      </c>
      <c r="L165" s="74"/>
      <c r="M165" s="76">
        <v>0</v>
      </c>
      <c r="N165" s="76">
        <v>0</v>
      </c>
    </row>
    <row r="166" spans="1:14" s="45" customFormat="1" ht="66.75" customHeight="1" hidden="1">
      <c r="A166" s="2" t="s">
        <v>328</v>
      </c>
      <c r="B166" s="1" t="s">
        <v>329</v>
      </c>
      <c r="C166" s="4"/>
      <c r="D166" s="18"/>
      <c r="E166" s="5"/>
      <c r="F166" s="5"/>
      <c r="G166" s="5"/>
      <c r="H166" s="5"/>
      <c r="I166" s="18"/>
      <c r="J166" s="5"/>
      <c r="K166" s="76"/>
      <c r="L166" s="74"/>
      <c r="M166" s="76">
        <v>0</v>
      </c>
      <c r="N166" s="76">
        <v>0</v>
      </c>
    </row>
    <row r="167" spans="1:15" s="45" customFormat="1" ht="33.75" customHeight="1">
      <c r="A167" s="2" t="s">
        <v>332</v>
      </c>
      <c r="B167" s="1" t="s">
        <v>187</v>
      </c>
      <c r="C167" s="4">
        <v>629</v>
      </c>
      <c r="D167" s="18">
        <f>SUM(C167-E167)</f>
        <v>-2773.5</v>
      </c>
      <c r="E167" s="5">
        <v>3402.5</v>
      </c>
      <c r="F167" s="5">
        <f>2500+10+545.1</f>
        <v>3055.1</v>
      </c>
      <c r="G167" s="5">
        <v>2658</v>
      </c>
      <c r="H167" s="5">
        <v>2500</v>
      </c>
      <c r="I167" s="18">
        <f>SUM(C167-J167)</f>
        <v>129</v>
      </c>
      <c r="J167" s="5">
        <v>500</v>
      </c>
      <c r="K167" s="76">
        <f>725452.4+31077+35000+31000+183567.76</f>
        <v>1006097.16</v>
      </c>
      <c r="L167" s="74"/>
      <c r="M167" s="76">
        <v>0</v>
      </c>
      <c r="N167" s="76">
        <v>0</v>
      </c>
      <c r="O167" s="115"/>
    </row>
    <row r="168" spans="1:15" s="46" customFormat="1" ht="51.75" customHeight="1" hidden="1">
      <c r="A168" s="2" t="s">
        <v>330</v>
      </c>
      <c r="B168" s="1" t="s">
        <v>331</v>
      </c>
      <c r="C168" s="4">
        <v>629</v>
      </c>
      <c r="D168" s="18">
        <f>SUM(C168-E168)</f>
        <v>-2773.5</v>
      </c>
      <c r="E168" s="5">
        <v>3402.5</v>
      </c>
      <c r="F168" s="5">
        <f>2500+10+545.1</f>
        <v>3055.1</v>
      </c>
      <c r="G168" s="5">
        <v>2658</v>
      </c>
      <c r="H168" s="5">
        <v>2500</v>
      </c>
      <c r="I168" s="18">
        <f>SUM(C168-J168)</f>
        <v>129</v>
      </c>
      <c r="J168" s="5">
        <v>500</v>
      </c>
      <c r="K168" s="76">
        <v>0</v>
      </c>
      <c r="L168" s="74"/>
      <c r="M168" s="76">
        <v>0</v>
      </c>
      <c r="N168" s="76">
        <v>0</v>
      </c>
      <c r="O168" s="115"/>
    </row>
    <row r="169" spans="1:14" s="45" customFormat="1" ht="83.25" customHeight="1">
      <c r="A169" s="25" t="s">
        <v>236</v>
      </c>
      <c r="B169" s="10" t="s">
        <v>16</v>
      </c>
      <c r="C169" s="3"/>
      <c r="D169" s="7"/>
      <c r="E169" s="3"/>
      <c r="F169" s="3"/>
      <c r="G169" s="3"/>
      <c r="H169" s="3"/>
      <c r="I169" s="7"/>
      <c r="J169" s="3"/>
      <c r="K169" s="77">
        <f>SUM(K170)</f>
        <v>255164.29</v>
      </c>
      <c r="L169" s="78"/>
      <c r="M169" s="77">
        <f>SUM(M170)</f>
        <v>0</v>
      </c>
      <c r="N169" s="77">
        <f>SUM(N170)</f>
        <v>0</v>
      </c>
    </row>
    <row r="170" spans="1:14" s="46" customFormat="1" ht="66.75" customHeight="1">
      <c r="A170" s="2" t="s">
        <v>235</v>
      </c>
      <c r="B170" s="1" t="s">
        <v>17</v>
      </c>
      <c r="C170" s="4"/>
      <c r="D170" s="18"/>
      <c r="E170" s="5"/>
      <c r="F170" s="5"/>
      <c r="G170" s="5"/>
      <c r="H170" s="5"/>
      <c r="I170" s="18"/>
      <c r="J170" s="5"/>
      <c r="K170" s="76">
        <v>255164.29</v>
      </c>
      <c r="L170" s="74"/>
      <c r="M170" s="76">
        <v>0</v>
      </c>
      <c r="N170" s="76">
        <v>0</v>
      </c>
    </row>
    <row r="171" spans="1:14" s="46" customFormat="1" ht="64.5" customHeight="1">
      <c r="A171" s="25" t="s">
        <v>205</v>
      </c>
      <c r="B171" s="10" t="s">
        <v>206</v>
      </c>
      <c r="C171" s="3">
        <f>SUM(C173)</f>
        <v>-2712.7</v>
      </c>
      <c r="D171" s="3">
        <f aca="true" t="shared" si="32" ref="D171:J171">SUM(D173)</f>
        <v>0</v>
      </c>
      <c r="E171" s="3">
        <f t="shared" si="32"/>
        <v>0</v>
      </c>
      <c r="F171" s="3">
        <f t="shared" si="32"/>
        <v>0</v>
      </c>
      <c r="G171" s="3">
        <f t="shared" si="32"/>
        <v>0</v>
      </c>
      <c r="H171" s="3">
        <f t="shared" si="32"/>
        <v>0</v>
      </c>
      <c r="I171" s="3">
        <f t="shared" si="32"/>
        <v>-2712.7</v>
      </c>
      <c r="J171" s="3">
        <f t="shared" si="32"/>
        <v>0</v>
      </c>
      <c r="K171" s="64">
        <f>SUM(K172:K173)</f>
        <v>-1405470.23</v>
      </c>
      <c r="L171" s="64">
        <f>SUM(L172:L173)</f>
        <v>-1398705.53</v>
      </c>
      <c r="M171" s="64">
        <f>SUM(M172:M173)</f>
        <v>0</v>
      </c>
      <c r="N171" s="64">
        <f>SUM(N172:N173)</f>
        <v>0</v>
      </c>
    </row>
    <row r="172" spans="1:14" s="46" customFormat="1" ht="64.5" customHeight="1">
      <c r="A172" s="2" t="s">
        <v>314</v>
      </c>
      <c r="B172" s="1" t="s">
        <v>315</v>
      </c>
      <c r="C172" s="9"/>
      <c r="D172" s="9"/>
      <c r="E172" s="9"/>
      <c r="F172" s="9"/>
      <c r="G172" s="9"/>
      <c r="H172" s="9"/>
      <c r="I172" s="9"/>
      <c r="J172" s="9"/>
      <c r="K172" s="65">
        <v>-4052</v>
      </c>
      <c r="L172" s="112"/>
      <c r="M172" s="65">
        <v>0</v>
      </c>
      <c r="N172" s="65">
        <v>0</v>
      </c>
    </row>
    <row r="173" spans="1:14" s="46" customFormat="1" ht="62.25" customHeight="1">
      <c r="A173" s="2" t="s">
        <v>237</v>
      </c>
      <c r="B173" s="1" t="s">
        <v>207</v>
      </c>
      <c r="C173" s="4">
        <v>-2712.7</v>
      </c>
      <c r="D173" s="18"/>
      <c r="E173" s="5"/>
      <c r="F173" s="5"/>
      <c r="G173" s="5"/>
      <c r="H173" s="5"/>
      <c r="I173" s="18">
        <f>SUM(C173-J173)</f>
        <v>-2712.7</v>
      </c>
      <c r="J173" s="5">
        <v>0</v>
      </c>
      <c r="K173" s="76">
        <v>-1401418.23</v>
      </c>
      <c r="L173" s="74">
        <f t="shared" si="21"/>
        <v>-1398705.53</v>
      </c>
      <c r="M173" s="76">
        <v>0</v>
      </c>
      <c r="N173" s="76">
        <v>0</v>
      </c>
    </row>
    <row r="174" spans="1:14" s="47" customFormat="1" ht="27.75" customHeight="1">
      <c r="A174" s="25"/>
      <c r="B174" s="63" t="s">
        <v>106</v>
      </c>
      <c r="C174" s="7">
        <f aca="true" t="shared" si="33" ref="C174:K174">SUM(C89+C9)</f>
        <v>752198.265</v>
      </c>
      <c r="D174" s="7">
        <f t="shared" si="33"/>
        <v>49076.495000000024</v>
      </c>
      <c r="E174" s="7">
        <f t="shared" si="33"/>
        <v>705752.47</v>
      </c>
      <c r="F174" s="7">
        <f t="shared" si="33"/>
        <v>695120.962</v>
      </c>
      <c r="G174" s="7">
        <f t="shared" si="33"/>
        <v>618791.5</v>
      </c>
      <c r="H174" s="7">
        <f t="shared" si="33"/>
        <v>571687.9</v>
      </c>
      <c r="I174" s="7">
        <f t="shared" si="33"/>
        <v>8575.000000000002</v>
      </c>
      <c r="J174" s="7">
        <f t="shared" si="33"/>
        <v>743623.265</v>
      </c>
      <c r="K174" s="73">
        <f t="shared" si="33"/>
        <v>887054790.02</v>
      </c>
      <c r="L174" s="74">
        <f t="shared" si="21"/>
        <v>886302591.755</v>
      </c>
      <c r="M174" s="73">
        <f>SUM(M89+M9)</f>
        <v>630476344</v>
      </c>
      <c r="N174" s="73">
        <f>SUM(N89+N9)</f>
        <v>640988646</v>
      </c>
    </row>
    <row r="175" ht="20.25" customHeight="1" hidden="1">
      <c r="L175" s="91">
        <f>SUM(K174-K175)</f>
        <v>887054790.02</v>
      </c>
    </row>
    <row r="176" spans="11:14" ht="18" customHeight="1" hidden="1">
      <c r="K176" s="94" t="s">
        <v>31</v>
      </c>
      <c r="M176" s="74">
        <f>SUM(M174-M89-M14-M15)</f>
        <v>79732945</v>
      </c>
      <c r="N176" s="74">
        <f>SUM(N174-N89-N14-N15)</f>
        <v>80192947</v>
      </c>
    </row>
    <row r="177" spans="2:14" ht="18.75" customHeight="1" hidden="1">
      <c r="B177" s="37" t="s">
        <v>137</v>
      </c>
      <c r="C177" s="38">
        <f>SUM(C174-C89-152018)</f>
        <v>132619.3</v>
      </c>
      <c r="D177" s="38"/>
      <c r="E177" s="39"/>
      <c r="F177" s="39"/>
      <c r="G177" s="39"/>
      <c r="H177" s="40"/>
      <c r="I177" s="40"/>
      <c r="J177" s="40"/>
      <c r="K177" s="92">
        <f>SUM(K174-K89-K14-K15)</f>
        <v>113344260.94000006</v>
      </c>
      <c r="L177" s="92">
        <f>SUM(L174-L89-L14-L15)</f>
        <v>279019573.6400001</v>
      </c>
      <c r="M177" s="93">
        <f>SUM(M174-M89-M14-M15)</f>
        <v>79732945</v>
      </c>
      <c r="N177" s="93">
        <f>SUM(N174-N89-N14-N15)</f>
        <v>80192947</v>
      </c>
    </row>
    <row r="178" spans="2:14" ht="18.75" customHeight="1" hidden="1">
      <c r="B178" s="41">
        <v>0.05</v>
      </c>
      <c r="C178" s="38">
        <f>SUM(C177*5/100)</f>
        <v>6630.965</v>
      </c>
      <c r="D178" s="38"/>
      <c r="E178" s="39"/>
      <c r="F178" s="39"/>
      <c r="G178" s="39"/>
      <c r="H178" s="40"/>
      <c r="I178" s="40"/>
      <c r="J178" s="40"/>
      <c r="K178" s="92">
        <f>SUM(K177*0.05)</f>
        <v>5667213.047000003</v>
      </c>
      <c r="L178" s="92">
        <f>SUM(L177*0.05)</f>
        <v>13950978.682000006</v>
      </c>
      <c r="M178" s="93">
        <f>SUM(M177*0.05)</f>
        <v>3986647.25</v>
      </c>
      <c r="N178" s="93">
        <f>SUM(N177*0.05)</f>
        <v>4009647.35</v>
      </c>
    </row>
    <row r="179" spans="2:14" ht="19.5" customHeight="1" hidden="1">
      <c r="B179" s="41" t="s">
        <v>213</v>
      </c>
      <c r="C179" s="38">
        <f>SUM(C177/2)</f>
        <v>66309.65</v>
      </c>
      <c r="D179" s="38"/>
      <c r="E179" s="39"/>
      <c r="F179" s="39"/>
      <c r="G179" s="39"/>
      <c r="H179" s="40"/>
      <c r="I179" s="40"/>
      <c r="J179" s="40"/>
      <c r="K179" s="92">
        <f>SUM(K177/2)</f>
        <v>56672130.47000003</v>
      </c>
      <c r="L179" s="92">
        <f>SUM(L177/2)</f>
        <v>139509786.82000005</v>
      </c>
      <c r="M179" s="93">
        <f>SUM(M177/2)</f>
        <v>39866472.5</v>
      </c>
      <c r="N179" s="93">
        <f>SUM(N177/2)</f>
        <v>40096473.5</v>
      </c>
    </row>
    <row r="180" spans="2:14" ht="12.75" hidden="1">
      <c r="B180" s="43"/>
      <c r="C180" s="42">
        <f>SUM(C174+45000)</f>
        <v>797198.265</v>
      </c>
      <c r="M180" s="74"/>
      <c r="N180" s="74"/>
    </row>
    <row r="181" spans="2:14" ht="13.5" hidden="1">
      <c r="B181" s="43"/>
      <c r="C181" s="42" t="e">
        <f>SUM(C180-#REF!)</f>
        <v>#REF!</v>
      </c>
      <c r="K181" s="97" t="s">
        <v>32</v>
      </c>
      <c r="L181" s="98"/>
      <c r="M181" s="99">
        <v>1500000</v>
      </c>
      <c r="N181" s="99">
        <v>4000000</v>
      </c>
    </row>
    <row r="182" spans="11:14" ht="12.75" hidden="1">
      <c r="K182" s="100"/>
      <c r="L182" s="100"/>
      <c r="M182" s="83"/>
      <c r="N182" s="83"/>
    </row>
    <row r="183" spans="2:14" ht="13.5" hidden="1">
      <c r="B183" s="43"/>
      <c r="K183" s="101" t="s">
        <v>28</v>
      </c>
      <c r="L183" s="98"/>
      <c r="M183" s="99">
        <f>SUM(M174+M181)</f>
        <v>631976344</v>
      </c>
      <c r="N183" s="99">
        <f>SUM(N174+N181)</f>
        <v>644988646</v>
      </c>
    </row>
    <row r="184" ht="12.75" hidden="1"/>
    <row r="185" spans="2:14" ht="13.5" hidden="1">
      <c r="B185" s="101" t="s">
        <v>11</v>
      </c>
      <c r="C185" s="95"/>
      <c r="D185" s="95"/>
      <c r="E185" s="95"/>
      <c r="F185" s="95"/>
      <c r="G185" s="95"/>
      <c r="H185" s="96"/>
      <c r="I185" s="96"/>
      <c r="J185" s="96"/>
      <c r="K185" s="98" t="s">
        <v>29</v>
      </c>
      <c r="M185" s="74">
        <f>SUM(M183-M89+M91)</f>
        <v>366726845</v>
      </c>
      <c r="N185" s="99">
        <f>SUM(M185*2.69452295/100)</f>
        <v>9881539.002335928</v>
      </c>
    </row>
    <row r="186" spans="2:14" ht="13.5" hidden="1">
      <c r="B186" s="101"/>
      <c r="C186" s="95"/>
      <c r="D186" s="95"/>
      <c r="E186" s="95"/>
      <c r="F186" s="95"/>
      <c r="G186" s="95"/>
      <c r="H186" s="96"/>
      <c r="I186" s="96"/>
      <c r="J186" s="96"/>
      <c r="K186" s="98"/>
      <c r="M186" s="74"/>
      <c r="N186" s="105"/>
    </row>
    <row r="187" spans="2:14" ht="13.5" hidden="1">
      <c r="B187" s="101" t="s">
        <v>35</v>
      </c>
      <c r="C187" s="95"/>
      <c r="D187" s="95"/>
      <c r="E187" s="95"/>
      <c r="F187" s="95"/>
      <c r="G187" s="95"/>
      <c r="H187" s="96"/>
      <c r="I187" s="96"/>
      <c r="J187" s="96"/>
      <c r="K187" s="98" t="s">
        <v>30</v>
      </c>
      <c r="M187" s="74">
        <f>SUM(N183-N89+N91)</f>
        <v>374893147</v>
      </c>
      <c r="N187" s="99">
        <f>SUM(M187*5.100057217/100)</f>
        <v>19119764.999611918</v>
      </c>
    </row>
    <row r="188" ht="12.75" hidden="1">
      <c r="N188" s="104"/>
    </row>
    <row r="189" spans="8:13" ht="32.25" customHeight="1" hidden="1">
      <c r="H189" s="36"/>
      <c r="I189" s="36"/>
      <c r="J189" s="36"/>
      <c r="K189" s="103" t="s">
        <v>33</v>
      </c>
      <c r="L189" s="102"/>
      <c r="M189" s="99">
        <f>SUM(M183-N185)</f>
        <v>622094804.9976641</v>
      </c>
    </row>
    <row r="190" spans="11:13" ht="28.5" customHeight="1" hidden="1">
      <c r="K190" s="103" t="s">
        <v>33</v>
      </c>
      <c r="L190" s="102"/>
      <c r="M190" s="99">
        <f>SUM(N183-N187)</f>
        <v>625868881.000388</v>
      </c>
    </row>
  </sheetData>
  <sheetProtection/>
  <mergeCells count="6">
    <mergeCell ref="B1:N1"/>
    <mergeCell ref="A2:N2"/>
    <mergeCell ref="A3:N3"/>
    <mergeCell ref="A6:N6"/>
    <mergeCell ref="B4:N4"/>
    <mergeCell ref="A5:N5"/>
  </mergeCells>
  <printOptions/>
  <pageMargins left="0.7480314960629921" right="0.3937007874015748" top="0.984251968503937" bottom="0.984251968503937" header="0.5118110236220472" footer="0.5118110236220472"/>
  <pageSetup fitToHeight="0" fitToWidth="1" horizontalDpi="600" verticalDpi="600" orientation="portrait" paperSize="9" scale="60" r:id="rId1"/>
  <headerFooter alignWithMargins="0">
    <oddFooter>&amp;CСтраница &amp;P из &amp;N</oddFooter>
  </headerFooter>
  <rowBreaks count="1" manualBreakCount="1">
    <brk id="1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СовДеп</cp:lastModifiedBy>
  <cp:lastPrinted>2018-10-05T08:33:27Z</cp:lastPrinted>
  <dcterms:created xsi:type="dcterms:W3CDTF">2008-03-28T11:28:32Z</dcterms:created>
  <dcterms:modified xsi:type="dcterms:W3CDTF">2018-10-15T13:33:04Z</dcterms:modified>
  <cp:category/>
  <cp:version/>
  <cp:contentType/>
  <cp:contentStatus/>
</cp:coreProperties>
</file>